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trlProps/ctrlProp19.xml" ContentType="application/vnd.ms-excel.contro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omments6.xml" ContentType="application/vnd.openxmlformats-officedocument.spreadsheetml.comments+xml"/>
  <Override PartName="/xl/ctrlProps/ctrlProp18.xml" ContentType="application/vnd.ms-excel.controlproperties+xml"/>
  <Override PartName="/xl/ctrlProps/ctrlProp17.xml" ContentType="application/vnd.ms-excel.contro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trlProps/ctrlProp16.xml" ContentType="application/vnd.ms-excel.controlproperties+xml"/>
  <Override PartName="/xl/ctrlProps/ctrlProp15.xml" ContentType="application/vnd.ms-excel.controlproperties+xml"/>
  <Override PartName="/xl/ctrlProps/ctrlProp9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trlProps/ctrlProp14.xml" ContentType="application/vnd.ms-excel.controlproperties+xml"/>
  <Override PartName="/xl/ctrlProps/ctrlProp13.xml" ContentType="application/vnd.ms-excel.controlproperties+xml"/>
  <Override PartName="/xl/ctrlProps/ctrlProp8.xml" ContentType="application/vnd.ms-excel.controlproperties+xml"/>
  <Override PartName="/xl/ctrlProps/ctrlProp7.xml" ContentType="application/vnd.ms-excel.control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ctrlProps/ctrlProp12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11.xml" ContentType="application/vnd.ms-excel.controlproperties+xml"/>
  <Override PartName="/xl/sharedStrings.xml" ContentType="application/vnd.openxmlformats-officedocument.spreadsheetml.sharedStrings+xml"/>
  <Override PartName="/xl/ctrlProps/ctrlProp10.xml" ContentType="application/vnd.ms-excel.controlpropertie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15" yWindow="6225" windowWidth="24765" windowHeight="6285"/>
  </bookViews>
  <sheets>
    <sheet name="Demande" sheetId="4" r:id="rId1"/>
    <sheet name="ArtD68" sheetId="11" r:id="rId2"/>
    <sheet name="Enquêtes multiples" sheetId="7" r:id="rId3"/>
    <sheet name="Plans modif" sheetId="5" r:id="rId4"/>
    <sheet name="Enquêtes multiples PM" sheetId="9" r:id="rId5"/>
    <sheet name="Délais DGATLP" sheetId="10" r:id="rId6"/>
    <sheet name="NACE AR 16-10-2000" sheetId="6" r:id="rId7"/>
  </sheets>
  <definedNames>
    <definedName name="_xlnm.Print_Area" localSheetId="1">ArtD68!$A$1:$G$45</definedName>
    <definedName name="_xlnm.Print_Area" localSheetId="5">'Délais DGATLP'!$A$1:$G$28</definedName>
    <definedName name="_xlnm.Print_Area" localSheetId="0">Demande!$A$1:$G$81</definedName>
    <definedName name="_xlnm.Print_Area" localSheetId="2">'Enquêtes multiples'!$A$1:$G$58</definedName>
    <definedName name="_xlnm.Print_Area" localSheetId="4">'Enquêtes multiples PM'!$A$2:$G$58</definedName>
    <definedName name="_xlnm.Print_Area" localSheetId="3">'Plans modif'!$A$1:$G$70</definedName>
  </definedNames>
  <calcPr calcId="125725"/>
</workbook>
</file>

<file path=xl/calcChain.xml><?xml version="1.0" encoding="utf-8"?>
<calcChain xmlns="http://schemas.openxmlformats.org/spreadsheetml/2006/main">
  <c r="C52" i="7"/>
  <c r="C40"/>
  <c r="C28"/>
  <c r="C16"/>
  <c r="C29" i="4"/>
  <c r="C52" i="9"/>
  <c r="C40"/>
  <c r="C28"/>
  <c r="C16"/>
  <c r="C22" i="5"/>
  <c r="U50" i="4"/>
  <c r="F22" i="5" l="1"/>
  <c r="G22"/>
  <c r="AA52"/>
  <c r="E18" i="4" l="1"/>
  <c r="E17"/>
  <c r="E16"/>
  <c r="B9" i="11"/>
  <c r="F9"/>
  <c r="B10"/>
  <c r="D12"/>
  <c r="E18"/>
  <c r="J18"/>
  <c r="B20"/>
  <c r="C20"/>
  <c r="D20"/>
  <c r="R7" s="1"/>
  <c r="E20"/>
  <c r="F20"/>
  <c r="F21" s="1"/>
  <c r="J20"/>
  <c r="B21"/>
  <c r="J26"/>
  <c r="J30"/>
  <c r="Q6" i="4"/>
  <c r="R6" s="1"/>
  <c r="T6"/>
  <c r="W6"/>
  <c r="X6" s="1"/>
  <c r="Z6"/>
  <c r="AC6"/>
  <c r="AF6"/>
  <c r="AI6"/>
  <c r="AI8" s="1"/>
  <c r="AL6"/>
  <c r="AM6" s="1"/>
  <c r="AO6"/>
  <c r="AR6"/>
  <c r="AU6"/>
  <c r="AU8" s="1"/>
  <c r="AX6"/>
  <c r="AY6" s="1"/>
  <c r="BA6"/>
  <c r="BD6"/>
  <c r="BG6"/>
  <c r="BG8" s="1"/>
  <c r="BJ6"/>
  <c r="BK6" s="1"/>
  <c r="BM6"/>
  <c r="BP6"/>
  <c r="BS6"/>
  <c r="BS8" s="1"/>
  <c r="BV6"/>
  <c r="BW6" s="1"/>
  <c r="BY6"/>
  <c r="CB6"/>
  <c r="CE6"/>
  <c r="CE8" s="1"/>
  <c r="CH6"/>
  <c r="CI6" s="1"/>
  <c r="CK6"/>
  <c r="CN6"/>
  <c r="CQ6"/>
  <c r="CQ8" s="1"/>
  <c r="CT6"/>
  <c r="CU6" s="1"/>
  <c r="CW6"/>
  <c r="CZ6"/>
  <c r="Q7"/>
  <c r="AC7"/>
  <c r="AI7"/>
  <c r="AO7"/>
  <c r="AU7"/>
  <c r="BA7"/>
  <c r="BG7"/>
  <c r="BM7"/>
  <c r="BS7"/>
  <c r="BY7"/>
  <c r="CE7"/>
  <c r="CK7"/>
  <c r="CQ7"/>
  <c r="CW7"/>
  <c r="Q8"/>
  <c r="Q15" s="1"/>
  <c r="W8"/>
  <c r="W15" s="1"/>
  <c r="AL8"/>
  <c r="AL15" s="1"/>
  <c r="AO8"/>
  <c r="AX8"/>
  <c r="AX15" s="1"/>
  <c r="BA8"/>
  <c r="BJ8"/>
  <c r="BM8"/>
  <c r="BV8"/>
  <c r="BV15" s="1"/>
  <c r="BY8"/>
  <c r="CH8"/>
  <c r="CH15" s="1"/>
  <c r="CK8"/>
  <c r="CT8"/>
  <c r="CT15" s="1"/>
  <c r="CW8"/>
  <c r="Q9"/>
  <c r="W9"/>
  <c r="AI9"/>
  <c r="AO9"/>
  <c r="AU9"/>
  <c r="BA9"/>
  <c r="BG9"/>
  <c r="BM9"/>
  <c r="BS9"/>
  <c r="BY9"/>
  <c r="CE9"/>
  <c r="CK9"/>
  <c r="CQ9"/>
  <c r="CW9"/>
  <c r="A10"/>
  <c r="B10"/>
  <c r="D10"/>
  <c r="E10"/>
  <c r="F10"/>
  <c r="Q10"/>
  <c r="T10"/>
  <c r="W10"/>
  <c r="Z10"/>
  <c r="AC10"/>
  <c r="AF10"/>
  <c r="AL10"/>
  <c r="BD10"/>
  <c r="BJ10"/>
  <c r="CB10"/>
  <c r="CH10"/>
  <c r="CZ10"/>
  <c r="Q11"/>
  <c r="Z11"/>
  <c r="AC11"/>
  <c r="AR11"/>
  <c r="AX11"/>
  <c r="BP11"/>
  <c r="BV11"/>
  <c r="CN11"/>
  <c r="CT11"/>
  <c r="B12"/>
  <c r="D12"/>
  <c r="F12"/>
  <c r="Q12"/>
  <c r="W12"/>
  <c r="AF12"/>
  <c r="AI12"/>
  <c r="AL12"/>
  <c r="AO12"/>
  <c r="AR12"/>
  <c r="AU12"/>
  <c r="AX12"/>
  <c r="BA12"/>
  <c r="BD12"/>
  <c r="BG12"/>
  <c r="BJ12"/>
  <c r="BM12"/>
  <c r="BP12"/>
  <c r="BS12"/>
  <c r="BV12"/>
  <c r="BY12"/>
  <c r="CB12"/>
  <c r="CE12"/>
  <c r="CH12"/>
  <c r="CK12"/>
  <c r="CN12"/>
  <c r="CQ12"/>
  <c r="CT12"/>
  <c r="CW12"/>
  <c r="CZ12"/>
  <c r="B13"/>
  <c r="F13"/>
  <c r="Q13"/>
  <c r="W13"/>
  <c r="AI13"/>
  <c r="AO13"/>
  <c r="AU13"/>
  <c r="BA13"/>
  <c r="BG13"/>
  <c r="BM13"/>
  <c r="BS13"/>
  <c r="BY13"/>
  <c r="CE13"/>
  <c r="CK13"/>
  <c r="CQ13"/>
  <c r="CW13"/>
  <c r="B14"/>
  <c r="D14"/>
  <c r="F14"/>
  <c r="Q14"/>
  <c r="W14"/>
  <c r="Z14"/>
  <c r="AC14"/>
  <c r="AR14"/>
  <c r="AX14"/>
  <c r="BP14"/>
  <c r="BV14"/>
  <c r="CN14"/>
  <c r="CT14"/>
  <c r="BJ15"/>
  <c r="C16"/>
  <c r="F16"/>
  <c r="G16"/>
  <c r="Q16"/>
  <c r="W16"/>
  <c r="W19" s="1"/>
  <c r="AI16"/>
  <c r="AI19" s="1"/>
  <c r="AO16"/>
  <c r="AO19" s="1"/>
  <c r="AU16"/>
  <c r="AU19" s="1"/>
  <c r="BA16"/>
  <c r="BA19" s="1"/>
  <c r="BG16"/>
  <c r="BM16"/>
  <c r="BS16"/>
  <c r="BS19" s="1"/>
  <c r="BY16"/>
  <c r="BY19" s="1"/>
  <c r="CE16"/>
  <c r="CK16"/>
  <c r="CQ16"/>
  <c r="CQ19" s="1"/>
  <c r="CW16"/>
  <c r="CW19" s="1"/>
  <c r="Q17"/>
  <c r="W17"/>
  <c r="AF17"/>
  <c r="AI17"/>
  <c r="AL17"/>
  <c r="AO17"/>
  <c r="AR17"/>
  <c r="AU17"/>
  <c r="AX17"/>
  <c r="BA17"/>
  <c r="BD17"/>
  <c r="BG17"/>
  <c r="BJ17"/>
  <c r="BM17"/>
  <c r="BP17"/>
  <c r="BS17"/>
  <c r="BV17"/>
  <c r="BY17"/>
  <c r="CB17"/>
  <c r="CE17"/>
  <c r="CH17"/>
  <c r="CK17"/>
  <c r="CN17"/>
  <c r="CQ17"/>
  <c r="CT17"/>
  <c r="CW17"/>
  <c r="CZ17"/>
  <c r="D18"/>
  <c r="G18"/>
  <c r="Q18"/>
  <c r="W18"/>
  <c r="AI18"/>
  <c r="AO18"/>
  <c r="AU18"/>
  <c r="BA18"/>
  <c r="BG18"/>
  <c r="BM18"/>
  <c r="BS18"/>
  <c r="BY18"/>
  <c r="CE18"/>
  <c r="CK18"/>
  <c r="CQ18"/>
  <c r="CW18"/>
  <c r="Q19"/>
  <c r="B20"/>
  <c r="B21" s="1"/>
  <c r="D21"/>
  <c r="F21"/>
  <c r="E27"/>
  <c r="F27"/>
  <c r="B47"/>
  <c r="V50"/>
  <c r="D51"/>
  <c r="E51"/>
  <c r="G51"/>
  <c r="D52"/>
  <c r="E52"/>
  <c r="G52"/>
  <c r="D53"/>
  <c r="E53"/>
  <c r="G53"/>
  <c r="D54"/>
  <c r="E54"/>
  <c r="G54"/>
  <c r="D55"/>
  <c r="E55"/>
  <c r="G55"/>
  <c r="D56"/>
  <c r="E56"/>
  <c r="G56"/>
  <c r="D57"/>
  <c r="E57"/>
  <c r="G57"/>
  <c r="D58"/>
  <c r="E58"/>
  <c r="G58"/>
  <c r="D59"/>
  <c r="E59"/>
  <c r="G59"/>
  <c r="D60"/>
  <c r="E60"/>
  <c r="G60"/>
  <c r="D61"/>
  <c r="E61"/>
  <c r="G61"/>
  <c r="D62"/>
  <c r="E62"/>
  <c r="G62"/>
  <c r="D63"/>
  <c r="E63"/>
  <c r="G63"/>
  <c r="D64"/>
  <c r="E64"/>
  <c r="G64"/>
  <c r="D65"/>
  <c r="E65"/>
  <c r="G65"/>
  <c r="D66"/>
  <c r="E66"/>
  <c r="G66"/>
  <c r="D67"/>
  <c r="E67"/>
  <c r="G67"/>
  <c r="D68"/>
  <c r="E68"/>
  <c r="G68"/>
  <c r="D69"/>
  <c r="E69"/>
  <c r="G69"/>
  <c r="D70"/>
  <c r="E70"/>
  <c r="G70"/>
  <c r="D71"/>
  <c r="E71"/>
  <c r="G71"/>
  <c r="D72"/>
  <c r="E72"/>
  <c r="G72"/>
  <c r="D73"/>
  <c r="E73"/>
  <c r="G73"/>
  <c r="D74"/>
  <c r="E74"/>
  <c r="G74"/>
  <c r="D75"/>
  <c r="E75"/>
  <c r="G75"/>
  <c r="D76"/>
  <c r="E76"/>
  <c r="G76"/>
  <c r="D77"/>
  <c r="E77"/>
  <c r="G77"/>
  <c r="D78"/>
  <c r="E78"/>
  <c r="G78"/>
  <c r="D79"/>
  <c r="E79"/>
  <c r="G79"/>
  <c r="D80"/>
  <c r="E80"/>
  <c r="G80"/>
  <c r="B1" i="10"/>
  <c r="G1"/>
  <c r="B2"/>
  <c r="B3"/>
  <c r="B4"/>
  <c r="B5"/>
  <c r="B6"/>
  <c r="A10"/>
  <c r="C16"/>
  <c r="A19"/>
  <c r="C19"/>
  <c r="A20"/>
  <c r="C20"/>
  <c r="A21"/>
  <c r="C21"/>
  <c r="A22"/>
  <c r="C22"/>
  <c r="B2" i="7"/>
  <c r="G2"/>
  <c r="B3"/>
  <c r="B4"/>
  <c r="B5"/>
  <c r="B6"/>
  <c r="B7"/>
  <c r="B9"/>
  <c r="F10"/>
  <c r="B14"/>
  <c r="C14"/>
  <c r="D14"/>
  <c r="F14"/>
  <c r="B15"/>
  <c r="C15"/>
  <c r="D15"/>
  <c r="F15"/>
  <c r="D16"/>
  <c r="F16"/>
  <c r="B26"/>
  <c r="C26"/>
  <c r="D26"/>
  <c r="F26"/>
  <c r="B27"/>
  <c r="C27"/>
  <c r="D27"/>
  <c r="F27"/>
  <c r="D28"/>
  <c r="F28"/>
  <c r="B38"/>
  <c r="C38"/>
  <c r="D38"/>
  <c r="F38"/>
  <c r="B39"/>
  <c r="C39"/>
  <c r="D39"/>
  <c r="F39"/>
  <c r="D40"/>
  <c r="F40"/>
  <c r="B50"/>
  <c r="C50"/>
  <c r="D50"/>
  <c r="F50"/>
  <c r="B51"/>
  <c r="C51"/>
  <c r="D51"/>
  <c r="F51"/>
  <c r="D52"/>
  <c r="F52"/>
  <c r="B2" i="9"/>
  <c r="G2"/>
  <c r="B3"/>
  <c r="B4"/>
  <c r="B5"/>
  <c r="B6"/>
  <c r="B7"/>
  <c r="B9"/>
  <c r="F9"/>
  <c r="B10"/>
  <c r="F10"/>
  <c r="B14"/>
  <c r="C14"/>
  <c r="D14"/>
  <c r="F14"/>
  <c r="B15"/>
  <c r="C15"/>
  <c r="D15"/>
  <c r="F15"/>
  <c r="G15"/>
  <c r="B16"/>
  <c r="F16"/>
  <c r="B26"/>
  <c r="C26"/>
  <c r="D26"/>
  <c r="F26"/>
  <c r="B27"/>
  <c r="C27"/>
  <c r="D27"/>
  <c r="F27"/>
  <c r="G27"/>
  <c r="B28"/>
  <c r="F28"/>
  <c r="B38"/>
  <c r="C38"/>
  <c r="D38"/>
  <c r="F38"/>
  <c r="B39"/>
  <c r="C39"/>
  <c r="D39"/>
  <c r="F39"/>
  <c r="G39"/>
  <c r="B40"/>
  <c r="F40"/>
  <c r="B50"/>
  <c r="C50"/>
  <c r="D50"/>
  <c r="F50"/>
  <c r="B51"/>
  <c r="C51"/>
  <c r="D51"/>
  <c r="F51"/>
  <c r="G51"/>
  <c r="B52"/>
  <c r="F52"/>
  <c r="B1" i="5"/>
  <c r="G1"/>
  <c r="B2"/>
  <c r="B3"/>
  <c r="B4"/>
  <c r="B5"/>
  <c r="I5"/>
  <c r="B6"/>
  <c r="Q6"/>
  <c r="R6" s="1"/>
  <c r="T6"/>
  <c r="T9" s="1"/>
  <c r="W6"/>
  <c r="X6" s="1"/>
  <c r="Z6"/>
  <c r="Z9" s="1"/>
  <c r="AC6"/>
  <c r="AD6" s="1"/>
  <c r="AF6"/>
  <c r="AF9" s="1"/>
  <c r="AI6"/>
  <c r="AJ6" s="1"/>
  <c r="AL6"/>
  <c r="AL9" s="1"/>
  <c r="AO6"/>
  <c r="AP6" s="1"/>
  <c r="AR6"/>
  <c r="AR9" s="1"/>
  <c r="AU6"/>
  <c r="AV6" s="1"/>
  <c r="AX6"/>
  <c r="AX9" s="1"/>
  <c r="BA6"/>
  <c r="BB6" s="1"/>
  <c r="BD6"/>
  <c r="BD9" s="1"/>
  <c r="BG6"/>
  <c r="BH6" s="1"/>
  <c r="BJ6"/>
  <c r="BJ9" s="1"/>
  <c r="BM6"/>
  <c r="BN6" s="1"/>
  <c r="BP6"/>
  <c r="BP9" s="1"/>
  <c r="BS6"/>
  <c r="BT6" s="1"/>
  <c r="BV6"/>
  <c r="BV9" s="1"/>
  <c r="BY6"/>
  <c r="BZ6" s="1"/>
  <c r="CB6"/>
  <c r="CB9" s="1"/>
  <c r="CE6"/>
  <c r="CF6" s="1"/>
  <c r="CH6"/>
  <c r="CH9" s="1"/>
  <c r="CK6"/>
  <c r="CL6" s="1"/>
  <c r="CN6"/>
  <c r="CN9" s="1"/>
  <c r="CQ6"/>
  <c r="CR6" s="1"/>
  <c r="CT6"/>
  <c r="CT9" s="1"/>
  <c r="CW6"/>
  <c r="CX6" s="1"/>
  <c r="CZ6"/>
  <c r="CZ9" s="1"/>
  <c r="W7"/>
  <c r="AF7"/>
  <c r="AI7"/>
  <c r="AL7"/>
  <c r="AU7"/>
  <c r="BG7"/>
  <c r="BJ7"/>
  <c r="BS7"/>
  <c r="CB7"/>
  <c r="CE7"/>
  <c r="CH7"/>
  <c r="CQ7"/>
  <c r="B8"/>
  <c r="D8"/>
  <c r="F8"/>
  <c r="W8"/>
  <c r="AI8"/>
  <c r="AU8"/>
  <c r="AU15" s="1"/>
  <c r="BG8"/>
  <c r="BS8"/>
  <c r="BS15" s="1"/>
  <c r="CE8"/>
  <c r="CQ8"/>
  <c r="F9"/>
  <c r="W9"/>
  <c r="AI9"/>
  <c r="AU9"/>
  <c r="BG9"/>
  <c r="BS9"/>
  <c r="CE9"/>
  <c r="CQ9"/>
  <c r="AC10"/>
  <c r="AO10"/>
  <c r="BA10"/>
  <c r="BY10"/>
  <c r="CK10"/>
  <c r="CW10"/>
  <c r="E11"/>
  <c r="F11"/>
  <c r="G11"/>
  <c r="Q11"/>
  <c r="AO11"/>
  <c r="BA11"/>
  <c r="BM11"/>
  <c r="CK11"/>
  <c r="CW11"/>
  <c r="W12"/>
  <c r="AI12"/>
  <c r="AU12"/>
  <c r="BG12"/>
  <c r="BS12"/>
  <c r="CE12"/>
  <c r="CQ12"/>
  <c r="G13"/>
  <c r="W13"/>
  <c r="AI13"/>
  <c r="AU13"/>
  <c r="BG13"/>
  <c r="BS13"/>
  <c r="CE13"/>
  <c r="CQ13"/>
  <c r="Q14"/>
  <c r="AC14"/>
  <c r="BA14"/>
  <c r="BM14"/>
  <c r="BY14"/>
  <c r="CW14"/>
  <c r="E15"/>
  <c r="E16" s="1"/>
  <c r="W15"/>
  <c r="CQ15"/>
  <c r="F16"/>
  <c r="W16"/>
  <c r="Z16"/>
  <c r="AI16"/>
  <c r="AR16"/>
  <c r="AU16"/>
  <c r="AX16"/>
  <c r="BG16"/>
  <c r="BS16"/>
  <c r="BV16"/>
  <c r="CE16"/>
  <c r="CN16"/>
  <c r="CQ16"/>
  <c r="CT16"/>
  <c r="Q17"/>
  <c r="W17"/>
  <c r="AC17"/>
  <c r="AI17"/>
  <c r="AO17"/>
  <c r="AU17"/>
  <c r="BA17"/>
  <c r="BG17"/>
  <c r="BM17"/>
  <c r="BS17"/>
  <c r="BY17"/>
  <c r="CE17"/>
  <c r="CK17"/>
  <c r="CQ17"/>
  <c r="CW17"/>
  <c r="C18"/>
  <c r="W18"/>
  <c r="AI18"/>
  <c r="AU18"/>
  <c r="BG18"/>
  <c r="BS18"/>
  <c r="CE18"/>
  <c r="CQ18"/>
  <c r="B20"/>
  <c r="C20"/>
  <c r="D20"/>
  <c r="E20"/>
  <c r="F20"/>
  <c r="G20"/>
  <c r="B22"/>
  <c r="D38"/>
  <c r="E38"/>
  <c r="G38"/>
  <c r="D39"/>
  <c r="E39"/>
  <c r="G39"/>
  <c r="D40"/>
  <c r="E40"/>
  <c r="G40"/>
  <c r="D41"/>
  <c r="E41"/>
  <c r="G41"/>
  <c r="D42"/>
  <c r="E42"/>
  <c r="G42"/>
  <c r="D43"/>
  <c r="E43"/>
  <c r="G43"/>
  <c r="D44"/>
  <c r="E44"/>
  <c r="G44"/>
  <c r="D45"/>
  <c r="E45"/>
  <c r="G45"/>
  <c r="D46"/>
  <c r="E46"/>
  <c r="G46"/>
  <c r="D47"/>
  <c r="E47"/>
  <c r="G47"/>
  <c r="D48"/>
  <c r="E48"/>
  <c r="G48"/>
  <c r="D49"/>
  <c r="E49"/>
  <c r="G49"/>
  <c r="D50"/>
  <c r="E50"/>
  <c r="G50"/>
  <c r="D51"/>
  <c r="E51"/>
  <c r="G51"/>
  <c r="W51"/>
  <c r="D52"/>
  <c r="E52"/>
  <c r="G52"/>
  <c r="AD52"/>
  <c r="D53"/>
  <c r="E53"/>
  <c r="G53"/>
  <c r="D54"/>
  <c r="E54"/>
  <c r="G54"/>
  <c r="D55"/>
  <c r="E55"/>
  <c r="G55"/>
  <c r="D56"/>
  <c r="E56"/>
  <c r="G56"/>
  <c r="D57"/>
  <c r="E57"/>
  <c r="G57"/>
  <c r="W57"/>
  <c r="D58"/>
  <c r="E58"/>
  <c r="G58"/>
  <c r="D59"/>
  <c r="E59"/>
  <c r="G59"/>
  <c r="D60"/>
  <c r="E60"/>
  <c r="G60"/>
  <c r="D61"/>
  <c r="E61"/>
  <c r="G61"/>
  <c r="D62"/>
  <c r="E62"/>
  <c r="G62"/>
  <c r="D63"/>
  <c r="E63"/>
  <c r="G63"/>
  <c r="D64"/>
  <c r="E64"/>
  <c r="G64"/>
  <c r="D65"/>
  <c r="E65"/>
  <c r="G65"/>
  <c r="D66"/>
  <c r="E66"/>
  <c r="G66"/>
  <c r="D67"/>
  <c r="E67"/>
  <c r="G67"/>
  <c r="CV6" i="4"/>
  <c r="CJ6"/>
  <c r="CJ18" s="1"/>
  <c r="CS6"/>
  <c r="BU6"/>
  <c r="BU18" s="1"/>
  <c r="AW6"/>
  <c r="Y6"/>
  <c r="Y9" s="1"/>
  <c r="C18"/>
  <c r="AW17"/>
  <c r="CS17"/>
  <c r="DB6"/>
  <c r="CD6"/>
  <c r="BR6"/>
  <c r="BR18" s="1"/>
  <c r="AT6"/>
  <c r="AT13" s="1"/>
  <c r="S6"/>
  <c r="S14" s="1"/>
  <c r="CP6"/>
  <c r="AN6"/>
  <c r="BX6"/>
  <c r="BO6"/>
  <c r="BF6"/>
  <c r="AQ6"/>
  <c r="CD6" i="5"/>
  <c r="W62"/>
  <c r="W56"/>
  <c r="W52"/>
  <c r="BL6" i="4"/>
  <c r="BC6"/>
  <c r="BC8" s="1"/>
  <c r="BC15" s="1"/>
  <c r="AH6"/>
  <c r="AH10" s="1"/>
  <c r="CV12"/>
  <c r="CJ14"/>
  <c r="CJ12"/>
  <c r="CP13"/>
  <c r="AN11"/>
  <c r="AQ14"/>
  <c r="AQ16"/>
  <c r="AQ19" s="1"/>
  <c r="BO11"/>
  <c r="BO16"/>
  <c r="BO19" s="1"/>
  <c r="BO9"/>
  <c r="BO13"/>
  <c r="BF9"/>
  <c r="BX17"/>
  <c r="BX13"/>
  <c r="BC16"/>
  <c r="BC19" s="1"/>
  <c r="BC10"/>
  <c r="AH14"/>
  <c r="BL13"/>
  <c r="AZ6"/>
  <c r="R50"/>
  <c r="R58" s="1"/>
  <c r="C28"/>
  <c r="Y51" i="5"/>
  <c r="CS6"/>
  <c r="AW6"/>
  <c r="AW10" s="1"/>
  <c r="CY6"/>
  <c r="CJ6"/>
  <c r="CJ18" s="1"/>
  <c r="BO6"/>
  <c r="BL6"/>
  <c r="BC6"/>
  <c r="AQ6"/>
  <c r="AQ12" s="1"/>
  <c r="AN6"/>
  <c r="AN10" s="1"/>
  <c r="AE6"/>
  <c r="AE10" s="1"/>
  <c r="W63"/>
  <c r="W61"/>
  <c r="AB6"/>
  <c r="AB9" s="1"/>
  <c r="Y6"/>
  <c r="Y17" s="1"/>
  <c r="S6"/>
  <c r="S9" s="1"/>
  <c r="CV6"/>
  <c r="CG6"/>
  <c r="BX6"/>
  <c r="BI6"/>
  <c r="AZ6"/>
  <c r="AK6"/>
  <c r="AK9" s="1"/>
  <c r="Y10" i="4"/>
  <c r="S17"/>
  <c r="BU14"/>
  <c r="BU8"/>
  <c r="BU15" s="1"/>
  <c r="Y17"/>
  <c r="D16"/>
  <c r="D28"/>
  <c r="B28"/>
  <c r="AZ11"/>
  <c r="AZ10"/>
  <c r="AZ14"/>
  <c r="Y56" i="5"/>
  <c r="CS12"/>
  <c r="AW11"/>
  <c r="AW8"/>
  <c r="AW15" s="1"/>
  <c r="AW16"/>
  <c r="AW19" s="1"/>
  <c r="BC8"/>
  <c r="BC15" s="1"/>
  <c r="AN16"/>
  <c r="AN19" s="1"/>
  <c r="BO17"/>
  <c r="CY11"/>
  <c r="CY8"/>
  <c r="CY15" s="1"/>
  <c r="CY16"/>
  <c r="CY19" s="1"/>
  <c r="AE17"/>
  <c r="AE12"/>
  <c r="AQ17"/>
  <c r="BL11"/>
  <c r="BL8"/>
  <c r="BL15" s="1"/>
  <c r="BL16"/>
  <c r="BL19" s="1"/>
  <c r="Y14"/>
  <c r="AB8"/>
  <c r="AB15" s="1"/>
  <c r="AK17"/>
  <c r="AK13"/>
  <c r="BI14"/>
  <c r="BI8"/>
  <c r="BI15" s="1"/>
  <c r="CG10"/>
  <c r="CG14"/>
  <c r="CG17"/>
  <c r="CG13"/>
  <c r="S10"/>
  <c r="S14"/>
  <c r="S17"/>
  <c r="S8"/>
  <c r="S15" s="1"/>
  <c r="S13"/>
  <c r="D28" i="9"/>
  <c r="D40"/>
  <c r="D52"/>
  <c r="D16"/>
  <c r="B53"/>
  <c r="B41"/>
  <c r="B29"/>
  <c r="J28" s="1"/>
  <c r="B52" i="7"/>
  <c r="B17" i="9"/>
  <c r="J16" s="1"/>
  <c r="B28" i="7"/>
  <c r="B40"/>
  <c r="G51"/>
  <c r="B53"/>
  <c r="J52" s="1"/>
  <c r="G39"/>
  <c r="B41"/>
  <c r="J40" s="1"/>
  <c r="G27"/>
  <c r="B29"/>
  <c r="J28" s="1"/>
  <c r="B16"/>
  <c r="B17"/>
  <c r="J16" s="1"/>
  <c r="I19"/>
  <c r="G15"/>
  <c r="I55"/>
  <c r="I43"/>
  <c r="I44"/>
  <c r="I31"/>
  <c r="I32"/>
  <c r="I20"/>
  <c r="I56"/>
  <c r="J40" i="9"/>
  <c r="B42"/>
  <c r="B43" s="1"/>
  <c r="J52"/>
  <c r="K29" i="7"/>
  <c r="I57"/>
  <c r="K21"/>
  <c r="B54" i="9"/>
  <c r="B55" s="1"/>
  <c r="I29" i="7"/>
  <c r="K33"/>
  <c r="Q15"/>
  <c r="R23" s="1"/>
  <c r="I53"/>
  <c r="I33"/>
  <c r="K57"/>
  <c r="K53"/>
  <c r="I17"/>
  <c r="I21"/>
  <c r="K17"/>
  <c r="W15"/>
  <c r="X17" s="1"/>
  <c r="X24" s="1"/>
  <c r="N15"/>
  <c r="N18" s="1"/>
  <c r="Q35"/>
  <c r="P42" s="1"/>
  <c r="B54"/>
  <c r="B55" s="1"/>
  <c r="B30"/>
  <c r="B31" s="1"/>
  <c r="W35"/>
  <c r="I41"/>
  <c r="N35"/>
  <c r="O37" s="1"/>
  <c r="B18"/>
  <c r="B19" s="1"/>
  <c r="M37"/>
  <c r="K41"/>
  <c r="K45"/>
  <c r="I45"/>
  <c r="B42"/>
  <c r="B43" s="1"/>
  <c r="T15"/>
  <c r="U23" s="1"/>
  <c r="C29"/>
  <c r="D29"/>
  <c r="T35"/>
  <c r="U40" s="1"/>
  <c r="E42" i="4"/>
  <c r="C17" i="7"/>
  <c r="D17"/>
  <c r="J17"/>
  <c r="C18"/>
  <c r="C19" s="1"/>
  <c r="J29"/>
  <c r="C30"/>
  <c r="C31" s="1"/>
  <c r="C41" i="9"/>
  <c r="D41"/>
  <c r="D18" i="7"/>
  <c r="D19" s="1"/>
  <c r="C53"/>
  <c r="D53"/>
  <c r="D30"/>
  <c r="D31" s="1"/>
  <c r="J53"/>
  <c r="C54"/>
  <c r="C55" s="1"/>
  <c r="J41" i="9"/>
  <c r="C42"/>
  <c r="C43" s="1"/>
  <c r="D42"/>
  <c r="D43" s="1"/>
  <c r="J53"/>
  <c r="C54"/>
  <c r="C55" s="1"/>
  <c r="C53"/>
  <c r="D53"/>
  <c r="B30"/>
  <c r="B31" s="1"/>
  <c r="B18"/>
  <c r="B19" s="1"/>
  <c r="C41" i="7"/>
  <c r="D41"/>
  <c r="D54"/>
  <c r="D55" s="1"/>
  <c r="D54" i="9"/>
  <c r="D55" s="1"/>
  <c r="J41" i="7"/>
  <c r="C42"/>
  <c r="C43" s="1"/>
  <c r="D42"/>
  <c r="D43" s="1"/>
  <c r="E35" i="5"/>
  <c r="C17" i="9"/>
  <c r="D17"/>
  <c r="C29"/>
  <c r="D29"/>
  <c r="J29"/>
  <c r="C30"/>
  <c r="C31" s="1"/>
  <c r="J17"/>
  <c r="C18"/>
  <c r="C19" s="1"/>
  <c r="D18"/>
  <c r="D19" s="1"/>
  <c r="D30"/>
  <c r="D31" s="1"/>
  <c r="U38" i="7"/>
  <c r="U39"/>
  <c r="CU11" i="4"/>
  <c r="CU18"/>
  <c r="CU16"/>
  <c r="CU19" s="1"/>
  <c r="CU12"/>
  <c r="CU9"/>
  <c r="CU17"/>
  <c r="CU14"/>
  <c r="CU10"/>
  <c r="CU13"/>
  <c r="CU8"/>
  <c r="CU15" s="1"/>
  <c r="CI13"/>
  <c r="CI16"/>
  <c r="CI19" s="1"/>
  <c r="CI9"/>
  <c r="CI12"/>
  <c r="CI8"/>
  <c r="CI11"/>
  <c r="CI17"/>
  <c r="CI14"/>
  <c r="CI10"/>
  <c r="CI18"/>
  <c r="CI15"/>
  <c r="BW9"/>
  <c r="BW8"/>
  <c r="BW15" s="1"/>
  <c r="BW10"/>
  <c r="BW11"/>
  <c r="BW14"/>
  <c r="BW18"/>
  <c r="BW12"/>
  <c r="BW13"/>
  <c r="BW16"/>
  <c r="BW19" s="1"/>
  <c r="BW17"/>
  <c r="BK13"/>
  <c r="BK9"/>
  <c r="BK8"/>
  <c r="BK15" s="1"/>
  <c r="BK18"/>
  <c r="BK16"/>
  <c r="BK19" s="1"/>
  <c r="BK14"/>
  <c r="BK10"/>
  <c r="BK12"/>
  <c r="BK17"/>
  <c r="BK11"/>
  <c r="AY9"/>
  <c r="AY18"/>
  <c r="AY8"/>
  <c r="AY15" s="1"/>
  <c r="AY17"/>
  <c r="AY14"/>
  <c r="AY11"/>
  <c r="AY16"/>
  <c r="AY19" s="1"/>
  <c r="AY12"/>
  <c r="AY13"/>
  <c r="AY10"/>
  <c r="AM17"/>
  <c r="AM16"/>
  <c r="AM19" s="1"/>
  <c r="AM8"/>
  <c r="AM11"/>
  <c r="AM10"/>
  <c r="AM9"/>
  <c r="AM18"/>
  <c r="AM14"/>
  <c r="AM15"/>
  <c r="AM13"/>
  <c r="AM12"/>
  <c r="X12"/>
  <c r="X18"/>
  <c r="X8"/>
  <c r="X15" s="1"/>
  <c r="X14"/>
  <c r="X13"/>
  <c r="X10"/>
  <c r="X16"/>
  <c r="X19" s="1"/>
  <c r="X11"/>
  <c r="X9"/>
  <c r="X17"/>
  <c r="R17"/>
  <c r="R12"/>
  <c r="R11"/>
  <c r="R14"/>
  <c r="R9"/>
  <c r="R10"/>
  <c r="R8"/>
  <c r="R15" s="1"/>
  <c r="R13"/>
  <c r="R16"/>
  <c r="R19" s="1"/>
  <c r="R18"/>
  <c r="U15" i="7"/>
  <c r="S23"/>
  <c r="M41"/>
  <c r="N41"/>
  <c r="N38"/>
  <c r="M39"/>
  <c r="M45"/>
  <c r="M46" s="1"/>
  <c r="M49" s="1"/>
  <c r="N37"/>
  <c r="N44" s="1"/>
  <c r="S45"/>
  <c r="U18"/>
  <c r="D29" i="4"/>
  <c r="T45" i="7"/>
  <c r="T47" s="1"/>
  <c r="S37"/>
  <c r="S44" s="1"/>
  <c r="T41"/>
  <c r="U17"/>
  <c r="U24" s="1"/>
  <c r="O43"/>
  <c r="N43"/>
  <c r="N40"/>
  <c r="O38"/>
  <c r="O44"/>
  <c r="S22"/>
  <c r="X40"/>
  <c r="X43"/>
  <c r="Q42"/>
  <c r="R40"/>
  <c r="Q43"/>
  <c r="O42"/>
  <c r="M38"/>
  <c r="M17"/>
  <c r="M24" s="1"/>
  <c r="O21"/>
  <c r="O18"/>
  <c r="O23"/>
  <c r="N19"/>
  <c r="M25"/>
  <c r="M26" s="1"/>
  <c r="M29" s="1"/>
  <c r="N25"/>
  <c r="N27" s="1"/>
  <c r="O15"/>
  <c r="O17"/>
  <c r="O24" s="1"/>
  <c r="N20"/>
  <c r="M22"/>
  <c r="CX12" i="5"/>
  <c r="CX11"/>
  <c r="CX18"/>
  <c r="CX14"/>
  <c r="CX13"/>
  <c r="CX8"/>
  <c r="CX15" s="1"/>
  <c r="CX16"/>
  <c r="CX19" s="1"/>
  <c r="CX10"/>
  <c r="CX9"/>
  <c r="CX17"/>
  <c r="CR13"/>
  <c r="CR9"/>
  <c r="CR12"/>
  <c r="CR18"/>
  <c r="CR14"/>
  <c r="CR8"/>
  <c r="CR15" s="1"/>
  <c r="CR16"/>
  <c r="CR19" s="1"/>
  <c r="CR10"/>
  <c r="CR17"/>
  <c r="CR11"/>
  <c r="CL10"/>
  <c r="CL9"/>
  <c r="CL17"/>
  <c r="CL12"/>
  <c r="CL11"/>
  <c r="CL14"/>
  <c r="CL13"/>
  <c r="CL8"/>
  <c r="CL15" s="1"/>
  <c r="CL16"/>
  <c r="CL19" s="1"/>
  <c r="CL18"/>
  <c r="CF8"/>
  <c r="CF16"/>
  <c r="CF10"/>
  <c r="CF17"/>
  <c r="CF11"/>
  <c r="CF14"/>
  <c r="CF15"/>
  <c r="CF19"/>
  <c r="CF9"/>
  <c r="CF12"/>
  <c r="CF18"/>
  <c r="CF13"/>
  <c r="Q9" i="11"/>
  <c r="S9"/>
  <c r="S16" s="1"/>
  <c r="S10"/>
  <c r="R12"/>
  <c r="S13"/>
  <c r="R15"/>
  <c r="R18"/>
  <c r="S19"/>
  <c r="S7"/>
  <c r="R10"/>
  <c r="S11"/>
  <c r="S12"/>
  <c r="Q14"/>
  <c r="Q15"/>
  <c r="Q18"/>
  <c r="R19"/>
  <c r="Q16"/>
  <c r="Q10"/>
  <c r="R11"/>
  <c r="Q13"/>
  <c r="R14"/>
  <c r="Q17"/>
  <c r="Q20" s="1"/>
  <c r="Q21" s="1"/>
  <c r="Q23" s="1"/>
  <c r="R26" s="1"/>
  <c r="S17"/>
  <c r="S20" s="1"/>
  <c r="Q19"/>
  <c r="R9"/>
  <c r="R16" s="1"/>
  <c r="Q11"/>
  <c r="Q12"/>
  <c r="R13"/>
  <c r="S14"/>
  <c r="S15"/>
  <c r="R17"/>
  <c r="R20" s="1"/>
  <c r="S18"/>
  <c r="BR13" i="4"/>
  <c r="DB12"/>
  <c r="CD12"/>
  <c r="CD14"/>
  <c r="AT14"/>
  <c r="AT18"/>
  <c r="AT16"/>
  <c r="AT19" s="1"/>
  <c r="DB13"/>
  <c r="BR14"/>
  <c r="M28" i="7"/>
  <c r="R43"/>
  <c r="N17"/>
  <c r="N24" s="1"/>
  <c r="N21"/>
  <c r="N22"/>
  <c r="O22"/>
  <c r="O19"/>
  <c r="O25"/>
  <c r="O27" s="1"/>
  <c r="M18"/>
  <c r="M19"/>
  <c r="U35"/>
  <c r="S12" i="4"/>
  <c r="BI9" i="5" l="1"/>
  <c r="BI18"/>
  <c r="CG9"/>
  <c r="CG18"/>
  <c r="BC10"/>
  <c r="BC18"/>
  <c r="BO10"/>
  <c r="BO18"/>
  <c r="CY10"/>
  <c r="CY18"/>
  <c r="CS10"/>
  <c r="CS18"/>
  <c r="AZ8" i="4"/>
  <c r="AZ15" s="1"/>
  <c r="AZ18"/>
  <c r="CD9" i="5"/>
  <c r="CD18"/>
  <c r="BF16" i="4"/>
  <c r="BF19" s="1"/>
  <c r="BF18"/>
  <c r="BX16"/>
  <c r="BX18"/>
  <c r="CP9"/>
  <c r="CP18"/>
  <c r="CD8"/>
  <c r="CD15" s="1"/>
  <c r="CD18"/>
  <c r="AZ9" i="5"/>
  <c r="AZ18"/>
  <c r="BX8"/>
  <c r="BX15" s="1"/>
  <c r="BX18"/>
  <c r="CV16"/>
  <c r="CV19" s="1"/>
  <c r="CV18"/>
  <c r="BL10"/>
  <c r="BL18"/>
  <c r="BL12" i="4"/>
  <c r="BL18"/>
  <c r="BO8"/>
  <c r="BO15" s="1"/>
  <c r="BO18"/>
  <c r="DB9"/>
  <c r="DB18"/>
  <c r="CS9"/>
  <c r="CS18"/>
  <c r="CV9"/>
  <c r="CV18"/>
  <c r="BC14"/>
  <c r="BC18"/>
  <c r="BC11"/>
  <c r="AT17"/>
  <c r="BU13"/>
  <c r="BX11" i="5"/>
  <c r="Y10"/>
  <c r="V18" i="7"/>
  <c r="AH18" i="4"/>
  <c r="BF11"/>
  <c r="CP11"/>
  <c r="BX12" i="5"/>
  <c r="Y16"/>
  <c r="Y19" s="1"/>
  <c r="Y12"/>
  <c r="Y9"/>
  <c r="BL12"/>
  <c r="BL17"/>
  <c r="AE16"/>
  <c r="AE19" s="1"/>
  <c r="AE8"/>
  <c r="AE15" s="1"/>
  <c r="AE11"/>
  <c r="AW12"/>
  <c r="AW17"/>
  <c r="BI13"/>
  <c r="BI17"/>
  <c r="BI10"/>
  <c r="AK8"/>
  <c r="AK15" s="1"/>
  <c r="AK10"/>
  <c r="AB11"/>
  <c r="AN11"/>
  <c r="BK20" i="4"/>
  <c r="Q20"/>
  <c r="Q22" s="1"/>
  <c r="S21" i="11"/>
  <c r="O20" i="7"/>
  <c r="N23"/>
  <c r="AZ8" i="5"/>
  <c r="AZ15" s="1"/>
  <c r="AZ16"/>
  <c r="AZ19" s="1"/>
  <c r="AZ11"/>
  <c r="AZ12"/>
  <c r="CV8"/>
  <c r="CV15" s="1"/>
  <c r="CV9"/>
  <c r="CV12"/>
  <c r="CV11"/>
  <c r="AQ11"/>
  <c r="AQ8"/>
  <c r="AQ15" s="1"/>
  <c r="AQ16"/>
  <c r="AQ19" s="1"/>
  <c r="AQ14"/>
  <c r="AQ9"/>
  <c r="AQ10"/>
  <c r="AQ18"/>
  <c r="AQ13"/>
  <c r="CJ10"/>
  <c r="CJ17"/>
  <c r="CJ12"/>
  <c r="Y62"/>
  <c r="Y59"/>
  <c r="AW14" i="4"/>
  <c r="AW10"/>
  <c r="AW12"/>
  <c r="CV10"/>
  <c r="V38" i="7"/>
  <c r="V43"/>
  <c r="M23"/>
  <c r="M21"/>
  <c r="M20"/>
  <c r="AQ11" i="4"/>
  <c r="AQ18"/>
  <c r="AQ10"/>
  <c r="AQ12"/>
  <c r="AQ8"/>
  <c r="AQ15" s="1"/>
  <c r="AQ17"/>
  <c r="AN10"/>
  <c r="AN18"/>
  <c r="AN14"/>
  <c r="AN16"/>
  <c r="AN19" s="1"/>
  <c r="BR8"/>
  <c r="BR15" s="1"/>
  <c r="BR16"/>
  <c r="BR19" s="1"/>
  <c r="CU20"/>
  <c r="BX9" i="5"/>
  <c r="Y11"/>
  <c r="Y8"/>
  <c r="Y15" s="1"/>
  <c r="Y20" s="1"/>
  <c r="BL9"/>
  <c r="BL14"/>
  <c r="AE9"/>
  <c r="AE14"/>
  <c r="AW9"/>
  <c r="AW14"/>
  <c r="BC9" i="4"/>
  <c r="BC12"/>
  <c r="BO10"/>
  <c r="BO12"/>
  <c r="CS11"/>
  <c r="CJ13"/>
  <c r="CJ8"/>
  <c r="CJ15" s="1"/>
  <c r="CZ17" i="5"/>
  <c r="CN17"/>
  <c r="CB17"/>
  <c r="BP17"/>
  <c r="BD17"/>
  <c r="AR17"/>
  <c r="AF17"/>
  <c r="T17"/>
  <c r="CB16"/>
  <c r="BJ16"/>
  <c r="AF16"/>
  <c r="CT7"/>
  <c r="BP7"/>
  <c r="AX7"/>
  <c r="T7"/>
  <c r="DA6" i="4"/>
  <c r="CZ9"/>
  <c r="CZ13"/>
  <c r="CZ16"/>
  <c r="CZ19" s="1"/>
  <c r="CZ18"/>
  <c r="CZ8"/>
  <c r="CZ11"/>
  <c r="CZ14"/>
  <c r="CZ7"/>
  <c r="CZ15"/>
  <c r="CZ20" s="1"/>
  <c r="CO6"/>
  <c r="CN9"/>
  <c r="CN13"/>
  <c r="CN16"/>
  <c r="CN19" s="1"/>
  <c r="CN18"/>
  <c r="CN8"/>
  <c r="CN15" s="1"/>
  <c r="CN20" s="1"/>
  <c r="CN10"/>
  <c r="CN7"/>
  <c r="CC6"/>
  <c r="CB9"/>
  <c r="CB13"/>
  <c r="CB16"/>
  <c r="CB19" s="1"/>
  <c r="CB18"/>
  <c r="CB8"/>
  <c r="CB11"/>
  <c r="CB14"/>
  <c r="CB7"/>
  <c r="CB15"/>
  <c r="CB20" s="1"/>
  <c r="BQ6"/>
  <c r="BP9"/>
  <c r="BP13"/>
  <c r="BP16"/>
  <c r="BP19" s="1"/>
  <c r="BP18"/>
  <c r="BP8"/>
  <c r="BP15" s="1"/>
  <c r="BP20" s="1"/>
  <c r="BP10"/>
  <c r="BP7"/>
  <c r="BE6"/>
  <c r="BD9"/>
  <c r="BD13"/>
  <c r="BD16"/>
  <c r="BD19" s="1"/>
  <c r="BD18"/>
  <c r="BD8"/>
  <c r="BD11"/>
  <c r="BD14"/>
  <c r="BD7"/>
  <c r="BD15"/>
  <c r="AS6"/>
  <c r="AR9"/>
  <c r="AR13"/>
  <c r="AR16"/>
  <c r="AR19" s="1"/>
  <c r="AR18"/>
  <c r="AR8"/>
  <c r="AR15" s="1"/>
  <c r="AR20" s="1"/>
  <c r="AR10"/>
  <c r="AR7"/>
  <c r="AG6"/>
  <c r="AF9"/>
  <c r="AF13"/>
  <c r="AF16"/>
  <c r="AF19" s="1"/>
  <c r="AF18"/>
  <c r="AF8"/>
  <c r="AF11"/>
  <c r="AF14"/>
  <c r="AF7"/>
  <c r="AF15"/>
  <c r="T11"/>
  <c r="T14"/>
  <c r="V6"/>
  <c r="CG8" i="5"/>
  <c r="CG15" s="1"/>
  <c r="AK14"/>
  <c r="BX16"/>
  <c r="BX19" s="1"/>
  <c r="Y18"/>
  <c r="Y13"/>
  <c r="BL13"/>
  <c r="AE13"/>
  <c r="AE18"/>
  <c r="BO12"/>
  <c r="AW13"/>
  <c r="AW18"/>
  <c r="S53" i="4"/>
  <c r="AZ16"/>
  <c r="AZ19" s="1"/>
  <c r="S54"/>
  <c r="S16"/>
  <c r="S19" s="1"/>
  <c r="BL17"/>
  <c r="BC13"/>
  <c r="BC17"/>
  <c r="BX11"/>
  <c r="BO14"/>
  <c r="BO17"/>
  <c r="AH6" i="5"/>
  <c r="CS13" i="4"/>
  <c r="CJ17"/>
  <c r="CT17" i="5"/>
  <c r="CH17"/>
  <c r="BV17"/>
  <c r="BJ17"/>
  <c r="AX17"/>
  <c r="AL17"/>
  <c r="Z17"/>
  <c r="CZ16"/>
  <c r="CH16"/>
  <c r="BD16"/>
  <c r="AL16"/>
  <c r="CN7"/>
  <c r="BV7"/>
  <c r="AR7"/>
  <c r="Z7"/>
  <c r="BP16"/>
  <c r="T16"/>
  <c r="CZ7"/>
  <c r="BD7"/>
  <c r="CW16"/>
  <c r="CW19" s="1"/>
  <c r="CK16"/>
  <c r="CK19" s="1"/>
  <c r="BY16"/>
  <c r="BY19" s="1"/>
  <c r="BM16"/>
  <c r="BM19" s="1"/>
  <c r="BA16"/>
  <c r="BA19" s="1"/>
  <c r="AO16"/>
  <c r="AO19" s="1"/>
  <c r="AC16"/>
  <c r="AC19" s="1"/>
  <c r="Q16"/>
  <c r="Q19" s="1"/>
  <c r="CK14"/>
  <c r="AO14"/>
  <c r="BY11"/>
  <c r="AC11"/>
  <c r="BM10"/>
  <c r="Q10"/>
  <c r="CW7"/>
  <c r="CK7"/>
  <c r="BY7"/>
  <c r="BM7"/>
  <c r="BA7"/>
  <c r="AO7"/>
  <c r="AC7"/>
  <c r="Q7"/>
  <c r="CT18" i="4"/>
  <c r="CH18"/>
  <c r="BV18"/>
  <c r="BJ18"/>
  <c r="AX18"/>
  <c r="AL18"/>
  <c r="CT16"/>
  <c r="CT19" s="1"/>
  <c r="CH16"/>
  <c r="CH19" s="1"/>
  <c r="CH20" s="1"/>
  <c r="BV16"/>
  <c r="BV19" s="1"/>
  <c r="BJ16"/>
  <c r="BJ19" s="1"/>
  <c r="BJ20" s="1"/>
  <c r="AX16"/>
  <c r="AX19" s="1"/>
  <c r="AL16"/>
  <c r="AL19" s="1"/>
  <c r="CH14"/>
  <c r="BJ14"/>
  <c r="AL14"/>
  <c r="CT13"/>
  <c r="CH13"/>
  <c r="BV13"/>
  <c r="BJ13"/>
  <c r="AX13"/>
  <c r="AL13"/>
  <c r="CH11"/>
  <c r="BJ11"/>
  <c r="AL11"/>
  <c r="W11"/>
  <c r="CT10"/>
  <c r="BV10"/>
  <c r="AX10"/>
  <c r="CT9"/>
  <c r="CH9"/>
  <c r="BV9"/>
  <c r="BJ9"/>
  <c r="AX9"/>
  <c r="AL9"/>
  <c r="CT7"/>
  <c r="CH7"/>
  <c r="BV7"/>
  <c r="BJ7"/>
  <c r="AX7"/>
  <c r="AL7"/>
  <c r="BC20"/>
  <c r="S11" i="5"/>
  <c r="S18"/>
  <c r="S16"/>
  <c r="S19" s="1"/>
  <c r="S12"/>
  <c r="CG11"/>
  <c r="CG16"/>
  <c r="CG19" s="1"/>
  <c r="CG12"/>
  <c r="BI11"/>
  <c r="BI16"/>
  <c r="BI19" s="1"/>
  <c r="BI12"/>
  <c r="AK11"/>
  <c r="AK18"/>
  <c r="AK16"/>
  <c r="AK19" s="1"/>
  <c r="AK12"/>
  <c r="AB18"/>
  <c r="AB13"/>
  <c r="AB17"/>
  <c r="CY12"/>
  <c r="CY17"/>
  <c r="BO16"/>
  <c r="BO19" s="1"/>
  <c r="BO8"/>
  <c r="BO15" s="1"/>
  <c r="BO11"/>
  <c r="AN8"/>
  <c r="AN15" s="1"/>
  <c r="CJ16"/>
  <c r="CJ19" s="1"/>
  <c r="CJ8"/>
  <c r="CJ15" s="1"/>
  <c r="BC16"/>
  <c r="BC19" s="1"/>
  <c r="BC11"/>
  <c r="CS17"/>
  <c r="Y55"/>
  <c r="Y63"/>
  <c r="Y53"/>
  <c r="CA6"/>
  <c r="CA18" s="1"/>
  <c r="CM6"/>
  <c r="CM18" s="1"/>
  <c r="BU6"/>
  <c r="BU18" s="1"/>
  <c r="CQ19"/>
  <c r="CE19"/>
  <c r="BS19"/>
  <c r="BG19"/>
  <c r="AU19"/>
  <c r="AI19"/>
  <c r="W19"/>
  <c r="W20" s="1"/>
  <c r="W22" s="1"/>
  <c r="CW18"/>
  <c r="CK18"/>
  <c r="BY18"/>
  <c r="BM18"/>
  <c r="BA18"/>
  <c r="AO18"/>
  <c r="AC18"/>
  <c r="Q18"/>
  <c r="CE15"/>
  <c r="BG15"/>
  <c r="AI15"/>
  <c r="CQ14"/>
  <c r="CE14"/>
  <c r="BS14"/>
  <c r="BG14"/>
  <c r="AU14"/>
  <c r="AI14"/>
  <c r="W14"/>
  <c r="CW13"/>
  <c r="CK13"/>
  <c r="BY13"/>
  <c r="BM13"/>
  <c r="BA13"/>
  <c r="AO13"/>
  <c r="AC13"/>
  <c r="Q13"/>
  <c r="CW12"/>
  <c r="CK12"/>
  <c r="BY12"/>
  <c r="BM12"/>
  <c r="BA12"/>
  <c r="AO12"/>
  <c r="AC12"/>
  <c r="Q12"/>
  <c r="CQ11"/>
  <c r="CE11"/>
  <c r="BS11"/>
  <c r="BG11"/>
  <c r="AU11"/>
  <c r="AI11"/>
  <c r="W11"/>
  <c r="CQ10"/>
  <c r="CE10"/>
  <c r="BS10"/>
  <c r="BG10"/>
  <c r="AU10"/>
  <c r="AI10"/>
  <c r="W10"/>
  <c r="CW9"/>
  <c r="CK9"/>
  <c r="BY9"/>
  <c r="BM9"/>
  <c r="BA9"/>
  <c r="AO9"/>
  <c r="AC9"/>
  <c r="Q9"/>
  <c r="CW8"/>
  <c r="CW15" s="1"/>
  <c r="CK8"/>
  <c r="CK15" s="1"/>
  <c r="BY8"/>
  <c r="BY15" s="1"/>
  <c r="BY20" s="1"/>
  <c r="BY22" s="1"/>
  <c r="BM8"/>
  <c r="BM15" s="1"/>
  <c r="BA8"/>
  <c r="BA15" s="1"/>
  <c r="AO8"/>
  <c r="AO15" s="1"/>
  <c r="AO20" s="1"/>
  <c r="AO22" s="1"/>
  <c r="AC8"/>
  <c r="AC15" s="1"/>
  <c r="AC20" s="1"/>
  <c r="AC22" s="1"/>
  <c r="Q8"/>
  <c r="Q15" s="1"/>
  <c r="CD8"/>
  <c r="CD15" s="1"/>
  <c r="AN12"/>
  <c r="AN17"/>
  <c r="CJ11"/>
  <c r="BC12"/>
  <c r="BC17"/>
  <c r="CS16"/>
  <c r="CS19" s="1"/>
  <c r="CS8"/>
  <c r="CS15" s="1"/>
  <c r="CS11"/>
  <c r="CD14"/>
  <c r="W64"/>
  <c r="CD13"/>
  <c r="CD17"/>
  <c r="CD10"/>
  <c r="R53" i="4"/>
  <c r="S55"/>
  <c r="BR20"/>
  <c r="Y8"/>
  <c r="Y15" s="1"/>
  <c r="AH11" i="5"/>
  <c r="AH12"/>
  <c r="I3" i="7"/>
  <c r="F55" s="1"/>
  <c r="AI20" i="5"/>
  <c r="AI22" s="1"/>
  <c r="F31" i="7"/>
  <c r="Q38"/>
  <c r="N26"/>
  <c r="N29" s="1"/>
  <c r="N28"/>
  <c r="BR17" i="4"/>
  <c r="DB11"/>
  <c r="DB14"/>
  <c r="O41" i="7"/>
  <c r="P40"/>
  <c r="Q40"/>
  <c r="Q37"/>
  <c r="Q44" s="1"/>
  <c r="R41"/>
  <c r="X45"/>
  <c r="V39"/>
  <c r="M43"/>
  <c r="M44"/>
  <c r="O39"/>
  <c r="O40"/>
  <c r="O35"/>
  <c r="N45"/>
  <c r="N39"/>
  <c r="M40"/>
  <c r="N42"/>
  <c r="M42"/>
  <c r="CI20" i="4"/>
  <c r="X19" i="7"/>
  <c r="W17"/>
  <c r="W24" s="1"/>
  <c r="O45"/>
  <c r="Q19"/>
  <c r="AZ13" i="4"/>
  <c r="AZ9"/>
  <c r="AZ17"/>
  <c r="AZ12"/>
  <c r="V16"/>
  <c r="V19" s="1"/>
  <c r="V17"/>
  <c r="BU11"/>
  <c r="BU17"/>
  <c r="BU10"/>
  <c r="BL9"/>
  <c r="AH12"/>
  <c r="BX9"/>
  <c r="BF13"/>
  <c r="CP16"/>
  <c r="CP19" s="1"/>
  <c r="CP8"/>
  <c r="CJ16"/>
  <c r="V18"/>
  <c r="W7"/>
  <c r="O26" i="7"/>
  <c r="O29" s="1"/>
  <c r="O28"/>
  <c r="F42"/>
  <c r="R21" i="11"/>
  <c r="V22" i="7"/>
  <c r="P45"/>
  <c r="Q18"/>
  <c r="S40"/>
  <c r="U41"/>
  <c r="S43"/>
  <c r="T43"/>
  <c r="X37"/>
  <c r="W37"/>
  <c r="W20"/>
  <c r="W21"/>
  <c r="X23"/>
  <c r="X15"/>
  <c r="X18"/>
  <c r="V19"/>
  <c r="R19"/>
  <c r="R18"/>
  <c r="P25"/>
  <c r="P26" s="1"/>
  <c r="P29" s="1"/>
  <c r="P20"/>
  <c r="AQ9" i="4"/>
  <c r="AQ13"/>
  <c r="AN9"/>
  <c r="AN13"/>
  <c r="AN8"/>
  <c r="AN15" s="1"/>
  <c r="AN12"/>
  <c r="AN17"/>
  <c r="BU9"/>
  <c r="BU16"/>
  <c r="BU19" s="1"/>
  <c r="BU20" s="1"/>
  <c r="BU12"/>
  <c r="CJ9"/>
  <c r="CJ11"/>
  <c r="CJ10"/>
  <c r="CJ19"/>
  <c r="V10"/>
  <c r="V8"/>
  <c r="V15" s="1"/>
  <c r="V13"/>
  <c r="X51" i="5"/>
  <c r="W53"/>
  <c r="W59"/>
  <c r="W58"/>
  <c r="W54"/>
  <c r="AD6" i="4"/>
  <c r="AC8"/>
  <c r="AC15" s="1"/>
  <c r="AC9"/>
  <c r="AC12"/>
  <c r="AC13"/>
  <c r="AC16"/>
  <c r="AC17"/>
  <c r="AC18"/>
  <c r="AC19"/>
  <c r="AC20" s="1"/>
  <c r="AC22" s="1"/>
  <c r="AM20"/>
  <c r="CV17" i="5"/>
  <c r="CV14"/>
  <c r="CV10"/>
  <c r="CV13"/>
  <c r="BX17"/>
  <c r="BX14"/>
  <c r="BX10"/>
  <c r="BX13"/>
  <c r="AZ17"/>
  <c r="AZ14"/>
  <c r="AZ10"/>
  <c r="AZ13"/>
  <c r="AB16"/>
  <c r="AB19" s="1"/>
  <c r="AB14"/>
  <c r="AB12"/>
  <c r="AB10"/>
  <c r="CY13"/>
  <c r="CY9"/>
  <c r="CY14"/>
  <c r="BO13"/>
  <c r="BO9"/>
  <c r="BO14"/>
  <c r="AN13"/>
  <c r="AN9"/>
  <c r="AN18"/>
  <c r="AN14"/>
  <c r="CJ13"/>
  <c r="CJ9"/>
  <c r="CJ14"/>
  <c r="BC13"/>
  <c r="BC9"/>
  <c r="BC14"/>
  <c r="CS13"/>
  <c r="CS9"/>
  <c r="CS14"/>
  <c r="Y57"/>
  <c r="Y61"/>
  <c r="Y58"/>
  <c r="Y54"/>
  <c r="CD11"/>
  <c r="CD16"/>
  <c r="CD19" s="1"/>
  <c r="CD20" s="1"/>
  <c r="CD12"/>
  <c r="AH8"/>
  <c r="AH16"/>
  <c r="AH9"/>
  <c r="AQ20" i="4"/>
  <c r="CV11"/>
  <c r="CD17"/>
  <c r="BF6" i="5"/>
  <c r="BF18" s="1"/>
  <c r="DB6"/>
  <c r="DB18" s="1"/>
  <c r="CS8" i="4"/>
  <c r="CS16"/>
  <c r="CS19" s="1"/>
  <c r="AW8"/>
  <c r="AW15" s="1"/>
  <c r="CZ19" i="5"/>
  <c r="CT19"/>
  <c r="CN19"/>
  <c r="CH19"/>
  <c r="CB19"/>
  <c r="BV19"/>
  <c r="BP19"/>
  <c r="BJ19"/>
  <c r="BD19"/>
  <c r="AX19"/>
  <c r="CZ14"/>
  <c r="CT14"/>
  <c r="CN14"/>
  <c r="CH14"/>
  <c r="CB14"/>
  <c r="BV14"/>
  <c r="BP14"/>
  <c r="BJ14"/>
  <c r="BD14"/>
  <c r="AX14"/>
  <c r="AR14"/>
  <c r="AL14"/>
  <c r="AF14"/>
  <c r="Z14"/>
  <c r="T14"/>
  <c r="CZ13"/>
  <c r="CT13"/>
  <c r="CN13"/>
  <c r="CH13"/>
  <c r="CB13"/>
  <c r="BV13"/>
  <c r="BP13"/>
  <c r="BJ13"/>
  <c r="BD13"/>
  <c r="AX13"/>
  <c r="AR13"/>
  <c r="AL13"/>
  <c r="AF13"/>
  <c r="Z13"/>
  <c r="T13"/>
  <c r="CZ10"/>
  <c r="CT10"/>
  <c r="CN10"/>
  <c r="CH10"/>
  <c r="CB10"/>
  <c r="BV10"/>
  <c r="BP10"/>
  <c r="BJ10"/>
  <c r="BD10"/>
  <c r="AX10"/>
  <c r="AR10"/>
  <c r="AL10"/>
  <c r="AF10"/>
  <c r="Z10"/>
  <c r="T10"/>
  <c r="W20" i="4"/>
  <c r="W22" s="1"/>
  <c r="AT8"/>
  <c r="AT15" s="1"/>
  <c r="AT20" s="1"/>
  <c r="AT10"/>
  <c r="AT9"/>
  <c r="AT12"/>
  <c r="CD9"/>
  <c r="CD11"/>
  <c r="CD13"/>
  <c r="AW9"/>
  <c r="AW13"/>
  <c r="AW16"/>
  <c r="AW19" s="1"/>
  <c r="AW18"/>
  <c r="AW11"/>
  <c r="CS10"/>
  <c r="CS14"/>
  <c r="CS15"/>
  <c r="CS12"/>
  <c r="CV8"/>
  <c r="CV15" s="1"/>
  <c r="CV13"/>
  <c r="CV14"/>
  <c r="CV17"/>
  <c r="CV16"/>
  <c r="CV19" s="1"/>
  <c r="DA6" i="5"/>
  <c r="CZ8"/>
  <c r="CZ15" s="1"/>
  <c r="CZ11"/>
  <c r="CZ12"/>
  <c r="CZ18"/>
  <c r="CU6"/>
  <c r="CT8"/>
  <c r="CT15" s="1"/>
  <c r="CT11"/>
  <c r="CT12"/>
  <c r="CT18"/>
  <c r="CO6"/>
  <c r="CN8"/>
  <c r="CN15" s="1"/>
  <c r="CN11"/>
  <c r="CN12"/>
  <c r="CN18"/>
  <c r="CP6"/>
  <c r="CP18" s="1"/>
  <c r="CI6"/>
  <c r="CH8"/>
  <c r="CH15" s="1"/>
  <c r="CH11"/>
  <c r="CH12"/>
  <c r="CH18"/>
  <c r="CC6"/>
  <c r="CB8"/>
  <c r="CB15" s="1"/>
  <c r="CB11"/>
  <c r="CB12"/>
  <c r="CB18"/>
  <c r="BW6"/>
  <c r="BV8"/>
  <c r="BV15" s="1"/>
  <c r="BV11"/>
  <c r="BV12"/>
  <c r="BV18"/>
  <c r="BQ6"/>
  <c r="BP8"/>
  <c r="BP15" s="1"/>
  <c r="BP11"/>
  <c r="BP12"/>
  <c r="BP18"/>
  <c r="BR6"/>
  <c r="BR18" s="1"/>
  <c r="BK6"/>
  <c r="BJ8"/>
  <c r="BJ15" s="1"/>
  <c r="BJ11"/>
  <c r="BJ12"/>
  <c r="BJ18"/>
  <c r="BE6"/>
  <c r="BD8"/>
  <c r="BD15" s="1"/>
  <c r="BD11"/>
  <c r="BD12"/>
  <c r="BD18"/>
  <c r="AY6"/>
  <c r="AX8"/>
  <c r="AX15" s="1"/>
  <c r="AX11"/>
  <c r="AX12"/>
  <c r="AX18"/>
  <c r="AS6"/>
  <c r="AR8"/>
  <c r="AR15" s="1"/>
  <c r="AR11"/>
  <c r="AR12"/>
  <c r="AR18"/>
  <c r="AR19"/>
  <c r="AT6"/>
  <c r="AM6"/>
  <c r="AL8"/>
  <c r="AL15" s="1"/>
  <c r="AL11"/>
  <c r="AL12"/>
  <c r="AL18"/>
  <c r="AL19"/>
  <c r="AG6"/>
  <c r="AF8"/>
  <c r="AF15" s="1"/>
  <c r="AF11"/>
  <c r="AF12"/>
  <c r="AF18"/>
  <c r="AF19"/>
  <c r="AA6"/>
  <c r="Z8"/>
  <c r="Z15" s="1"/>
  <c r="Z11"/>
  <c r="Z12"/>
  <c r="Z18"/>
  <c r="Z19"/>
  <c r="U6"/>
  <c r="T8"/>
  <c r="T15" s="1"/>
  <c r="T11"/>
  <c r="T12"/>
  <c r="T18"/>
  <c r="T19"/>
  <c r="V6"/>
  <c r="CX6" i="4"/>
  <c r="CW10"/>
  <c r="CW11"/>
  <c r="CW14"/>
  <c r="CW15"/>
  <c r="CW20" s="1"/>
  <c r="CW22" s="1"/>
  <c r="CY6"/>
  <c r="CY18" s="1"/>
  <c r="CR6"/>
  <c r="CQ10"/>
  <c r="CQ11"/>
  <c r="CQ14"/>
  <c r="CQ15"/>
  <c r="CL6"/>
  <c r="CK10"/>
  <c r="CK11"/>
  <c r="CK14"/>
  <c r="CK15"/>
  <c r="CK19"/>
  <c r="CM6"/>
  <c r="CM18" s="1"/>
  <c r="CF6"/>
  <c r="CE10"/>
  <c r="CE11"/>
  <c r="CE14"/>
  <c r="CE15"/>
  <c r="CE19"/>
  <c r="CG6"/>
  <c r="CG18" s="1"/>
  <c r="BZ6"/>
  <c r="BY10"/>
  <c r="BY11"/>
  <c r="BY14"/>
  <c r="BY15"/>
  <c r="BY20" s="1"/>
  <c r="BY22" s="1"/>
  <c r="CA6"/>
  <c r="CA18" s="1"/>
  <c r="BT6"/>
  <c r="BS10"/>
  <c r="BS11"/>
  <c r="BS14"/>
  <c r="BS15"/>
  <c r="BS20" s="1"/>
  <c r="BS22" s="1"/>
  <c r="BN6"/>
  <c r="BM10"/>
  <c r="BM11"/>
  <c r="BM14"/>
  <c r="BM15"/>
  <c r="BM19"/>
  <c r="BH6"/>
  <c r="BG10"/>
  <c r="BG11"/>
  <c r="BG14"/>
  <c r="BG15"/>
  <c r="BG19"/>
  <c r="BI6"/>
  <c r="BB6"/>
  <c r="BA10"/>
  <c r="BA11"/>
  <c r="BA14"/>
  <c r="BA15"/>
  <c r="BA20" s="1"/>
  <c r="BA22" s="1"/>
  <c r="AV6"/>
  <c r="AU10"/>
  <c r="AU11"/>
  <c r="AU14"/>
  <c r="AU15"/>
  <c r="AU20" s="1"/>
  <c r="AU22" s="1"/>
  <c r="AP6"/>
  <c r="AO10"/>
  <c r="AO11"/>
  <c r="AO14"/>
  <c r="AO15"/>
  <c r="AO20" s="1"/>
  <c r="AO22" s="1"/>
  <c r="AJ6"/>
  <c r="AI10"/>
  <c r="AI11"/>
  <c r="AI14"/>
  <c r="AI15"/>
  <c r="AI20" s="1"/>
  <c r="AI22" s="1"/>
  <c r="AK6"/>
  <c r="AA6"/>
  <c r="AB6"/>
  <c r="Z7"/>
  <c r="Z8"/>
  <c r="Z15" s="1"/>
  <c r="Z9"/>
  <c r="Z12"/>
  <c r="Z13"/>
  <c r="Z16"/>
  <c r="Z19" s="1"/>
  <c r="Z20" s="1"/>
  <c r="Z17"/>
  <c r="Z18"/>
  <c r="U6"/>
  <c r="T7"/>
  <c r="T8"/>
  <c r="T15" s="1"/>
  <c r="T9"/>
  <c r="T12"/>
  <c r="T13"/>
  <c r="T16"/>
  <c r="T19" s="1"/>
  <c r="T20" s="1"/>
  <c r="T17"/>
  <c r="T18"/>
  <c r="AU20" i="5"/>
  <c r="AU22" s="1"/>
  <c r="CQ20" i="4"/>
  <c r="CQ22" s="1"/>
  <c r="BD20"/>
  <c r="BD22" s="1"/>
  <c r="AE6"/>
  <c r="E23" i="11"/>
  <c r="D21"/>
  <c r="CW20" i="5"/>
  <c r="CW22" s="1"/>
  <c r="CQ20"/>
  <c r="CQ22" s="1"/>
  <c r="CK20"/>
  <c r="CK22" s="1"/>
  <c r="CE20"/>
  <c r="CE22" s="1"/>
  <c r="BS20"/>
  <c r="BS22" s="1"/>
  <c r="BA20"/>
  <c r="BA22" s="1"/>
  <c r="CT20" i="4"/>
  <c r="CT22" s="1"/>
  <c r="BV20"/>
  <c r="BV22" s="1"/>
  <c r="AX20"/>
  <c r="AX22" s="1"/>
  <c r="AL20"/>
  <c r="AL22" s="1"/>
  <c r="AF20"/>
  <c r="AF22" s="1"/>
  <c r="V52"/>
  <c r="T58"/>
  <c r="T53"/>
  <c r="V53"/>
  <c r="U54"/>
  <c r="V58"/>
  <c r="T39" i="7"/>
  <c r="R35"/>
  <c r="R37"/>
  <c r="R44" s="1"/>
  <c r="Q39"/>
  <c r="F18"/>
  <c r="F30"/>
  <c r="R42"/>
  <c r="R39"/>
  <c r="P43"/>
  <c r="Q41"/>
  <c r="P39"/>
  <c r="P37"/>
  <c r="P44" s="1"/>
  <c r="W38"/>
  <c r="X35"/>
  <c r="W41"/>
  <c r="W44"/>
  <c r="V40"/>
  <c r="X38"/>
  <c r="V41"/>
  <c r="T21"/>
  <c r="P46"/>
  <c r="P49" s="1"/>
  <c r="T20"/>
  <c r="S41"/>
  <c r="T38"/>
  <c r="T37"/>
  <c r="T44" s="1"/>
  <c r="U42"/>
  <c r="T40"/>
  <c r="U43"/>
  <c r="U37"/>
  <c r="U44" s="1"/>
  <c r="U45"/>
  <c r="T42"/>
  <c r="S38"/>
  <c r="S42"/>
  <c r="S39"/>
  <c r="W40"/>
  <c r="W25"/>
  <c r="W18"/>
  <c r="X21"/>
  <c r="X25"/>
  <c r="V25"/>
  <c r="W19"/>
  <c r="V21"/>
  <c r="V17"/>
  <c r="V24" s="1"/>
  <c r="V20"/>
  <c r="W22"/>
  <c r="X20"/>
  <c r="Q22"/>
  <c r="R15"/>
  <c r="P17"/>
  <c r="P24" s="1"/>
  <c r="P30" s="1"/>
  <c r="R21"/>
  <c r="Q23"/>
  <c r="R25"/>
  <c r="R20"/>
  <c r="P22"/>
  <c r="Q58" i="4"/>
  <c r="R57"/>
  <c r="V54"/>
  <c r="U58"/>
  <c r="V57"/>
  <c r="T60"/>
  <c r="T61" s="1"/>
  <c r="T54"/>
  <c r="P50" i="7"/>
  <c r="X27"/>
  <c r="Q21"/>
  <c r="Y64" i="5"/>
  <c r="CG20"/>
  <c r="BI20"/>
  <c r="AK20"/>
  <c r="X56"/>
  <c r="X55"/>
  <c r="X63"/>
  <c r="X58"/>
  <c r="X57"/>
  <c r="X62"/>
  <c r="X59"/>
  <c r="X54"/>
  <c r="X53"/>
  <c r="X60" s="1"/>
  <c r="X61"/>
  <c r="AB20"/>
  <c r="W55"/>
  <c r="W60" s="1"/>
  <c r="W65" s="1"/>
  <c r="AW20"/>
  <c r="CF20"/>
  <c r="AN20"/>
  <c r="M48" i="7"/>
  <c r="M47"/>
  <c r="DA13" i="5"/>
  <c r="DA18"/>
  <c r="DA8"/>
  <c r="DA15" s="1"/>
  <c r="DA11"/>
  <c r="DA10"/>
  <c r="CU9"/>
  <c r="CU16"/>
  <c r="CU19" s="1"/>
  <c r="CU17"/>
  <c r="CU10"/>
  <c r="CU8"/>
  <c r="CU15" s="1"/>
  <c r="CO13"/>
  <c r="CO14"/>
  <c r="BW10"/>
  <c r="BW14"/>
  <c r="BW8"/>
  <c r="BW15" s="1"/>
  <c r="BW11"/>
  <c r="BW9"/>
  <c r="BW12"/>
  <c r="BW16"/>
  <c r="BW19" s="1"/>
  <c r="BW17"/>
  <c r="BW13"/>
  <c r="BW18"/>
  <c r="BQ13"/>
  <c r="BQ18"/>
  <c r="BQ10"/>
  <c r="BQ14"/>
  <c r="BQ11"/>
  <c r="BQ16"/>
  <c r="BQ19" s="1"/>
  <c r="BQ9"/>
  <c r="BQ12"/>
  <c r="BQ8"/>
  <c r="BQ15" s="1"/>
  <c r="BQ17"/>
  <c r="BK9"/>
  <c r="BK12"/>
  <c r="BK16"/>
  <c r="BK19" s="1"/>
  <c r="BK8"/>
  <c r="BK15" s="1"/>
  <c r="BK11"/>
  <c r="BK10"/>
  <c r="BK14"/>
  <c r="BK17"/>
  <c r="BK13"/>
  <c r="BK18"/>
  <c r="BE13"/>
  <c r="BE18"/>
  <c r="BE10"/>
  <c r="BE14"/>
  <c r="BE8"/>
  <c r="BE15" s="1"/>
  <c r="BE17"/>
  <c r="BE11"/>
  <c r="BE16"/>
  <c r="BE19" s="1"/>
  <c r="BE9"/>
  <c r="BE12"/>
  <c r="AY9"/>
  <c r="AY12"/>
  <c r="AY16"/>
  <c r="AY19" s="1"/>
  <c r="AY8"/>
  <c r="AY11"/>
  <c r="AY15"/>
  <c r="AY10"/>
  <c r="AY14"/>
  <c r="AY17"/>
  <c r="AY13"/>
  <c r="AY18"/>
  <c r="AS13"/>
  <c r="AS8"/>
  <c r="AS15" s="1"/>
  <c r="AS10"/>
  <c r="AS14"/>
  <c r="AS17"/>
  <c r="AS11"/>
  <c r="AS16"/>
  <c r="AS19" s="1"/>
  <c r="AS9"/>
  <c r="AS12"/>
  <c r="AS18"/>
  <c r="AM17"/>
  <c r="AM13"/>
  <c r="AM18"/>
  <c r="AM10"/>
  <c r="AM14"/>
  <c r="AM8"/>
  <c r="AM11"/>
  <c r="AM15"/>
  <c r="AM9"/>
  <c r="AM12"/>
  <c r="AM16"/>
  <c r="AM19" s="1"/>
  <c r="AG11"/>
  <c r="AG16"/>
  <c r="AG9"/>
  <c r="AG10"/>
  <c r="AG14"/>
  <c r="AG8"/>
  <c r="AG15" s="1"/>
  <c r="AG13"/>
  <c r="AG18"/>
  <c r="AG12"/>
  <c r="AG19"/>
  <c r="AG17"/>
  <c r="AA10"/>
  <c r="AA14"/>
  <c r="AA18"/>
  <c r="AA17"/>
  <c r="AA13"/>
  <c r="AA9"/>
  <c r="AA12"/>
  <c r="AA16"/>
  <c r="AA19" s="1"/>
  <c r="AA8"/>
  <c r="AA11"/>
  <c r="AA15"/>
  <c r="U12"/>
  <c r="U8"/>
  <c r="U9"/>
  <c r="U13"/>
  <c r="U18"/>
  <c r="U10"/>
  <c r="U14"/>
  <c r="U15"/>
  <c r="U11"/>
  <c r="U16"/>
  <c r="U19" s="1"/>
  <c r="U17"/>
  <c r="T48" i="7"/>
  <c r="T46"/>
  <c r="T49" s="1"/>
  <c r="N48"/>
  <c r="N46"/>
  <c r="N49" s="1"/>
  <c r="N47"/>
  <c r="BZ14" i="5"/>
  <c r="BZ13"/>
  <c r="BZ8"/>
  <c r="BZ15" s="1"/>
  <c r="BZ16"/>
  <c r="BZ19" s="1"/>
  <c r="BZ10"/>
  <c r="BZ9"/>
  <c r="BZ17"/>
  <c r="BZ12"/>
  <c r="BZ11"/>
  <c r="BZ18"/>
  <c r="BT10"/>
  <c r="BT17"/>
  <c r="BT11"/>
  <c r="BT14"/>
  <c r="BT8"/>
  <c r="BT16"/>
  <c r="BT19" s="1"/>
  <c r="BT9"/>
  <c r="BT12"/>
  <c r="BT18"/>
  <c r="BT13"/>
  <c r="BT15"/>
  <c r="BN14"/>
  <c r="BN13"/>
  <c r="BN8"/>
  <c r="BN15" s="1"/>
  <c r="BN16"/>
  <c r="BN19" s="1"/>
  <c r="BN10"/>
  <c r="BN9"/>
  <c r="BN17"/>
  <c r="BN12"/>
  <c r="BN11"/>
  <c r="BN18"/>
  <c r="BH8"/>
  <c r="BH15" s="1"/>
  <c r="BH16"/>
  <c r="BH19" s="1"/>
  <c r="BH9"/>
  <c r="BH12"/>
  <c r="BH14"/>
  <c r="BH10"/>
  <c r="BH17"/>
  <c r="BH11"/>
  <c r="BH18"/>
  <c r="BH13"/>
  <c r="BB8"/>
  <c r="BB15" s="1"/>
  <c r="BB16"/>
  <c r="BB19" s="1"/>
  <c r="BB10"/>
  <c r="BB9"/>
  <c r="BB17"/>
  <c r="BB12"/>
  <c r="BB11"/>
  <c r="BB18"/>
  <c r="BB14"/>
  <c r="BB13"/>
  <c r="AV14"/>
  <c r="AV8"/>
  <c r="AV15" s="1"/>
  <c r="AV16"/>
  <c r="AV19" s="1"/>
  <c r="AV10"/>
  <c r="AV17"/>
  <c r="AV11"/>
  <c r="AV13"/>
  <c r="AV9"/>
  <c r="AV12"/>
  <c r="AV18"/>
  <c r="AP14"/>
  <c r="AP13"/>
  <c r="AP8"/>
  <c r="AP15" s="1"/>
  <c r="AP16"/>
  <c r="AP19" s="1"/>
  <c r="AP10"/>
  <c r="AP9"/>
  <c r="AP17"/>
  <c r="AP12"/>
  <c r="AP11"/>
  <c r="AP18"/>
  <c r="AJ8"/>
  <c r="AJ15" s="1"/>
  <c r="AJ9"/>
  <c r="AJ12"/>
  <c r="AJ18"/>
  <c r="AJ13"/>
  <c r="AJ16"/>
  <c r="AJ19" s="1"/>
  <c r="AJ10"/>
  <c r="AJ17"/>
  <c r="AJ11"/>
  <c r="AJ14"/>
  <c r="AD8"/>
  <c r="AD15" s="1"/>
  <c r="AD16"/>
  <c r="AD19" s="1"/>
  <c r="AD10"/>
  <c r="AD9"/>
  <c r="AD17"/>
  <c r="AD12"/>
  <c r="AD11"/>
  <c r="AD18"/>
  <c r="AD14"/>
  <c r="AD13"/>
  <c r="X10"/>
  <c r="X17"/>
  <c r="X11"/>
  <c r="X14"/>
  <c r="X8"/>
  <c r="X15" s="1"/>
  <c r="X9"/>
  <c r="X12"/>
  <c r="X18"/>
  <c r="X13"/>
  <c r="X16"/>
  <c r="X19" s="1"/>
  <c r="R10"/>
  <c r="R9"/>
  <c r="R17"/>
  <c r="R12"/>
  <c r="R11"/>
  <c r="R14"/>
  <c r="R13"/>
  <c r="R8"/>
  <c r="R15" s="1"/>
  <c r="R16"/>
  <c r="R19" s="1"/>
  <c r="R18"/>
  <c r="CL20"/>
  <c r="CV20"/>
  <c r="AZ20"/>
  <c r="BL20"/>
  <c r="P28" i="7"/>
  <c r="R45"/>
  <c r="AE20" i="5"/>
  <c r="CY20"/>
  <c r="BF13"/>
  <c r="BF14"/>
  <c r="AH13"/>
  <c r="AH15"/>
  <c r="AH18"/>
  <c r="AH19"/>
  <c r="AH14"/>
  <c r="S48" i="7"/>
  <c r="S46"/>
  <c r="S49" s="1"/>
  <c r="S50" s="1"/>
  <c r="S52" s="1"/>
  <c r="U46"/>
  <c r="U49" s="1"/>
  <c r="U50" s="1"/>
  <c r="U47"/>
  <c r="S21"/>
  <c r="U21"/>
  <c r="T18"/>
  <c r="S20"/>
  <c r="T22"/>
  <c r="S17"/>
  <c r="S24" s="1"/>
  <c r="T25"/>
  <c r="T19"/>
  <c r="U22"/>
  <c r="T23"/>
  <c r="S19"/>
  <c r="S18"/>
  <c r="V42"/>
  <c r="X41"/>
  <c r="W39"/>
  <c r="V45"/>
  <c r="W43"/>
  <c r="W45"/>
  <c r="X42"/>
  <c r="Q45"/>
  <c r="P41"/>
  <c r="R38"/>
  <c r="R54" i="4"/>
  <c r="S56"/>
  <c r="X50"/>
  <c r="S60"/>
  <c r="Q60"/>
  <c r="Q57"/>
  <c r="R55"/>
  <c r="S58"/>
  <c r="Q55"/>
  <c r="Q52"/>
  <c r="S57"/>
  <c r="R52"/>
  <c r="Q53"/>
  <c r="S10"/>
  <c r="S8"/>
  <c r="S15" s="1"/>
  <c r="S20" s="1"/>
  <c r="S18"/>
  <c r="S13"/>
  <c r="S9"/>
  <c r="BR9"/>
  <c r="BR10"/>
  <c r="BR11"/>
  <c r="DB10"/>
  <c r="DB16"/>
  <c r="DB19" s="1"/>
  <c r="DB8"/>
  <c r="DB15" s="1"/>
  <c r="AK9"/>
  <c r="AK16"/>
  <c r="AK18"/>
  <c r="AK14"/>
  <c r="AK10"/>
  <c r="AK17"/>
  <c r="BI9"/>
  <c r="BI14"/>
  <c r="BI12"/>
  <c r="BI8"/>
  <c r="BI15" s="1"/>
  <c r="BI16"/>
  <c r="BI13"/>
  <c r="CG12"/>
  <c r="CG14"/>
  <c r="CG13"/>
  <c r="CA16"/>
  <c r="CA19" s="1"/>
  <c r="CA8"/>
  <c r="CA15" s="1"/>
  <c r="CA13"/>
  <c r="CA11"/>
  <c r="CA10"/>
  <c r="CM13"/>
  <c r="CM8"/>
  <c r="CM15" s="1"/>
  <c r="CM16"/>
  <c r="CM19" s="1"/>
  <c r="CM14"/>
  <c r="CM17"/>
  <c r="CM9"/>
  <c r="CY8"/>
  <c r="CY15" s="1"/>
  <c r="CY11"/>
  <c r="CY16"/>
  <c r="CY19" s="1"/>
  <c r="CY14"/>
  <c r="N30" i="7"/>
  <c r="M30"/>
  <c r="M32" s="1"/>
  <c r="R20" i="4"/>
  <c r="X20"/>
  <c r="AH9"/>
  <c r="AH13"/>
  <c r="AH8"/>
  <c r="AH15" s="1"/>
  <c r="AH11"/>
  <c r="AH16"/>
  <c r="AH19" s="1"/>
  <c r="AH17"/>
  <c r="BL8"/>
  <c r="BL15" s="1"/>
  <c r="BL11"/>
  <c r="BL16"/>
  <c r="BL19" s="1"/>
  <c r="BL10"/>
  <c r="BL14"/>
  <c r="BF8"/>
  <c r="BF15" s="1"/>
  <c r="BF20" s="1"/>
  <c r="BF12"/>
  <c r="BF17"/>
  <c r="BF10"/>
  <c r="BF14"/>
  <c r="BX8"/>
  <c r="BX15" s="1"/>
  <c r="BX12"/>
  <c r="BX19"/>
  <c r="BX10"/>
  <c r="BX14"/>
  <c r="CP10"/>
  <c r="CP14"/>
  <c r="CP15"/>
  <c r="CP20" s="1"/>
  <c r="CP12"/>
  <c r="CP17"/>
  <c r="Y16"/>
  <c r="Y19" s="1"/>
  <c r="Y12"/>
  <c r="Y14"/>
  <c r="Y18"/>
  <c r="Y11"/>
  <c r="Y13"/>
  <c r="P52" i="7"/>
  <c r="X48"/>
  <c r="F54"/>
  <c r="F43"/>
  <c r="F19"/>
  <c r="M27"/>
  <c r="U25"/>
  <c r="T17"/>
  <c r="T24" s="1"/>
  <c r="U20"/>
  <c r="U48"/>
  <c r="N50"/>
  <c r="S25"/>
  <c r="U19"/>
  <c r="BW20" i="4"/>
  <c r="X44" i="7"/>
  <c r="W42"/>
  <c r="V37"/>
  <c r="V44" s="1"/>
  <c r="X39"/>
  <c r="P27"/>
  <c r="P38"/>
  <c r="Q56" i="4"/>
  <c r="Q54"/>
  <c r="S52"/>
  <c r="S50"/>
  <c r="R56"/>
  <c r="R60"/>
  <c r="AK19"/>
  <c r="BI19"/>
  <c r="BI11"/>
  <c r="CG8"/>
  <c r="CG15" s="1"/>
  <c r="DB17"/>
  <c r="S11"/>
  <c r="BI17"/>
  <c r="CM11"/>
  <c r="CJ20"/>
  <c r="M50" i="7"/>
  <c r="M52" s="1"/>
  <c r="AY20" i="4"/>
  <c r="AZ20"/>
  <c r="U57"/>
  <c r="V56"/>
  <c r="U52"/>
  <c r="U56"/>
  <c r="T55"/>
  <c r="U53"/>
  <c r="T52"/>
  <c r="V55"/>
  <c r="V59" s="1"/>
  <c r="T57"/>
  <c r="U55"/>
  <c r="U60"/>
  <c r="T56"/>
  <c r="V60"/>
  <c r="BO20"/>
  <c r="AN20"/>
  <c r="R30" i="11"/>
  <c r="Q31"/>
  <c r="Q28"/>
  <c r="Q33" s="1"/>
  <c r="Q37"/>
  <c r="S31"/>
  <c r="Q39"/>
  <c r="R39" s="1"/>
  <c r="Q29"/>
  <c r="S32"/>
  <c r="S29"/>
  <c r="R31"/>
  <c r="Q36"/>
  <c r="S28"/>
  <c r="S33" s="1"/>
  <c r="S30"/>
  <c r="S26"/>
  <c r="Q34" s="1"/>
  <c r="R28"/>
  <c r="R33" s="1"/>
  <c r="Q30"/>
  <c r="Q38"/>
  <c r="R29"/>
  <c r="R32"/>
  <c r="Q32"/>
  <c r="T50" i="7"/>
  <c r="CR20" i="5"/>
  <c r="CX20"/>
  <c r="O30" i="7"/>
  <c r="CS20" i="5"/>
  <c r="S47" i="7"/>
  <c r="S20" i="5"/>
  <c r="BX20"/>
  <c r="BC20"/>
  <c r="V23" i="7"/>
  <c r="W23"/>
  <c r="P19"/>
  <c r="P23"/>
  <c r="R22"/>
  <c r="Q17"/>
  <c r="Q24" s="1"/>
  <c r="Q20"/>
  <c r="Q25"/>
  <c r="P18"/>
  <c r="R17"/>
  <c r="R24" s="1"/>
  <c r="P21"/>
  <c r="X22"/>
  <c r="CD16" i="4"/>
  <c r="CD19" s="1"/>
  <c r="CD20" s="1"/>
  <c r="CD10"/>
  <c r="AT11"/>
  <c r="BR12"/>
  <c r="BI10" l="1"/>
  <c r="BI18"/>
  <c r="T22"/>
  <c r="BP22"/>
  <c r="BM20" i="5"/>
  <c r="BM22" s="1"/>
  <c r="CB22" i="4"/>
  <c r="CN22"/>
  <c r="CH22"/>
  <c r="AR22"/>
  <c r="T62"/>
  <c r="Q20" i="5"/>
  <c r="Q22" s="1"/>
  <c r="Y20" i="4"/>
  <c r="V20"/>
  <c r="BE11"/>
  <c r="BE9"/>
  <c r="BE8"/>
  <c r="BE15" s="1"/>
  <c r="BE18"/>
  <c r="BE13"/>
  <c r="BE14"/>
  <c r="BE10"/>
  <c r="BE17"/>
  <c r="BE12"/>
  <c r="BE16"/>
  <c r="BE19" s="1"/>
  <c r="CO13"/>
  <c r="CO11"/>
  <c r="CO8"/>
  <c r="CO15" s="1"/>
  <c r="CO12"/>
  <c r="CO9"/>
  <c r="CO16"/>
  <c r="CO19" s="1"/>
  <c r="CO17"/>
  <c r="CO10"/>
  <c r="CO18"/>
  <c r="CO14"/>
  <c r="AQ20" i="5"/>
  <c r="V14" i="4"/>
  <c r="V9"/>
  <c r="V11"/>
  <c r="V12"/>
  <c r="AG8"/>
  <c r="AG15" s="1"/>
  <c r="AG11"/>
  <c r="AG10"/>
  <c r="AG16"/>
  <c r="AG19" s="1"/>
  <c r="AG9"/>
  <c r="AG14"/>
  <c r="AG13"/>
  <c r="AG12"/>
  <c r="AG18"/>
  <c r="AG17"/>
  <c r="BQ14"/>
  <c r="BQ12"/>
  <c r="BQ9"/>
  <c r="BQ16"/>
  <c r="BQ19" s="1"/>
  <c r="BQ8"/>
  <c r="BQ15" s="1"/>
  <c r="BQ11"/>
  <c r="BQ13"/>
  <c r="BQ17"/>
  <c r="BQ10"/>
  <c r="BQ18"/>
  <c r="CZ22"/>
  <c r="BJ22"/>
  <c r="AH10" i="5"/>
  <c r="AH17"/>
  <c r="AS13" i="4"/>
  <c r="AS16"/>
  <c r="AS19" s="1"/>
  <c r="AS9"/>
  <c r="AS12"/>
  <c r="AS8"/>
  <c r="AS15" s="1"/>
  <c r="AS11"/>
  <c r="AS14"/>
  <c r="AS17"/>
  <c r="AS18"/>
  <c r="AS10"/>
  <c r="DA11"/>
  <c r="DA16"/>
  <c r="DA19" s="1"/>
  <c r="DA10"/>
  <c r="DA14"/>
  <c r="DA13"/>
  <c r="DA8"/>
  <c r="DA15" s="1"/>
  <c r="DA12"/>
  <c r="DA18"/>
  <c r="DA17"/>
  <c r="DA9"/>
  <c r="Z20" i="5"/>
  <c r="Z22" s="1"/>
  <c r="CC14" i="4"/>
  <c r="CC13"/>
  <c r="CC10"/>
  <c r="CC11"/>
  <c r="CC18"/>
  <c r="CC16"/>
  <c r="CC19" s="1"/>
  <c r="CC9"/>
  <c r="CC8"/>
  <c r="CC15" s="1"/>
  <c r="CC17"/>
  <c r="CC12"/>
  <c r="CJ20" i="5"/>
  <c r="BO20"/>
  <c r="BG20"/>
  <c r="BG22" s="1"/>
  <c r="BU10"/>
  <c r="BU14"/>
  <c r="BU9"/>
  <c r="BU13"/>
  <c r="BU11"/>
  <c r="BU12"/>
  <c r="BU17"/>
  <c r="BU8"/>
  <c r="BU15" s="1"/>
  <c r="BU16"/>
  <c r="BU19" s="1"/>
  <c r="CA10"/>
  <c r="CA14"/>
  <c r="CA9"/>
  <c r="CA13"/>
  <c r="CA11"/>
  <c r="CA17"/>
  <c r="CA8"/>
  <c r="CA15" s="1"/>
  <c r="CA12"/>
  <c r="CA16"/>
  <c r="CA19" s="1"/>
  <c r="CM10"/>
  <c r="CM14"/>
  <c r="CM9"/>
  <c r="CM13"/>
  <c r="CM8"/>
  <c r="CM15" s="1"/>
  <c r="CM11"/>
  <c r="CM17"/>
  <c r="CM12"/>
  <c r="CM16"/>
  <c r="CM19" s="1"/>
  <c r="X64"/>
  <c r="Y60"/>
  <c r="Y65" s="1"/>
  <c r="W67" s="1"/>
  <c r="U59" i="4"/>
  <c r="R59"/>
  <c r="S59"/>
  <c r="AL20" i="5"/>
  <c r="AL22" s="1"/>
  <c r="AR20"/>
  <c r="AR22" s="1"/>
  <c r="T63" i="4"/>
  <c r="O47" i="7"/>
  <c r="O46"/>
  <c r="O49" s="1"/>
  <c r="O50" s="1"/>
  <c r="O48"/>
  <c r="X46"/>
  <c r="X49" s="1"/>
  <c r="X50" s="1"/>
  <c r="X47"/>
  <c r="Z22" i="4"/>
  <c r="BG20"/>
  <c r="BG22" s="1"/>
  <c r="CE20"/>
  <c r="CE22" s="1"/>
  <c r="CK20"/>
  <c r="CK22" s="1"/>
  <c r="U17"/>
  <c r="U18"/>
  <c r="U12"/>
  <c r="U9"/>
  <c r="U8"/>
  <c r="U15" s="1"/>
  <c r="U11"/>
  <c r="U16"/>
  <c r="U19" s="1"/>
  <c r="U14"/>
  <c r="U10"/>
  <c r="U13"/>
  <c r="AB10"/>
  <c r="AB11"/>
  <c r="AB14"/>
  <c r="AB8"/>
  <c r="AB15" s="1"/>
  <c r="AB12"/>
  <c r="AB16"/>
  <c r="AB19" s="1"/>
  <c r="AB18"/>
  <c r="AB9"/>
  <c r="AB13"/>
  <c r="AB17"/>
  <c r="AK11"/>
  <c r="AK12"/>
  <c r="AK13"/>
  <c r="AK8"/>
  <c r="AK15" s="1"/>
  <c r="AK20" s="1"/>
  <c r="AP17"/>
  <c r="AP10"/>
  <c r="AP12"/>
  <c r="AP8"/>
  <c r="AP9"/>
  <c r="AP14"/>
  <c r="AP13"/>
  <c r="AP16"/>
  <c r="AP19" s="1"/>
  <c r="AP11"/>
  <c r="AP15"/>
  <c r="AP20" s="1"/>
  <c r="AP18"/>
  <c r="BB11"/>
  <c r="BB16"/>
  <c r="BB19" s="1"/>
  <c r="BB17"/>
  <c r="BB13"/>
  <c r="BB14"/>
  <c r="BB10"/>
  <c r="BB9"/>
  <c r="BB8"/>
  <c r="BB15" s="1"/>
  <c r="BB12"/>
  <c r="BB18"/>
  <c r="BT8"/>
  <c r="BT15" s="1"/>
  <c r="BT18"/>
  <c r="BT9"/>
  <c r="BT14"/>
  <c r="BT11"/>
  <c r="BT10"/>
  <c r="BT16"/>
  <c r="BT13"/>
  <c r="BT12"/>
  <c r="BT17"/>
  <c r="BT19"/>
  <c r="BZ10"/>
  <c r="BZ13"/>
  <c r="BZ8"/>
  <c r="BZ14"/>
  <c r="BZ11"/>
  <c r="BZ9"/>
  <c r="BZ12"/>
  <c r="BZ18"/>
  <c r="BZ15"/>
  <c r="BZ17"/>
  <c r="BZ16"/>
  <c r="BZ19" s="1"/>
  <c r="CM12"/>
  <c r="CM10"/>
  <c r="CL9"/>
  <c r="CL17"/>
  <c r="CL11"/>
  <c r="CL16"/>
  <c r="CL19" s="1"/>
  <c r="CL18"/>
  <c r="CL12"/>
  <c r="CL10"/>
  <c r="CL13"/>
  <c r="CL8"/>
  <c r="CL15" s="1"/>
  <c r="CL14"/>
  <c r="CY10"/>
  <c r="CY9"/>
  <c r="CY13"/>
  <c r="CY12"/>
  <c r="CY17"/>
  <c r="V12" i="5"/>
  <c r="V18"/>
  <c r="V10"/>
  <c r="V17"/>
  <c r="V13"/>
  <c r="V9"/>
  <c r="V16"/>
  <c r="V19" s="1"/>
  <c r="V11"/>
  <c r="V14"/>
  <c r="V8"/>
  <c r="V15" s="1"/>
  <c r="CP9"/>
  <c r="CP12"/>
  <c r="CP16"/>
  <c r="CP19" s="1"/>
  <c r="CP11"/>
  <c r="CP10"/>
  <c r="CP14"/>
  <c r="CP17"/>
  <c r="CP8"/>
  <c r="CP15" s="1"/>
  <c r="CP13"/>
  <c r="CO17"/>
  <c r="CO16"/>
  <c r="CO19" s="1"/>
  <c r="CO9"/>
  <c r="CO18"/>
  <c r="CO10"/>
  <c r="CO11"/>
  <c r="CO8"/>
  <c r="CO15" s="1"/>
  <c r="CO12"/>
  <c r="CU12"/>
  <c r="CU14"/>
  <c r="CU18"/>
  <c r="CU13"/>
  <c r="CU11"/>
  <c r="DA17"/>
  <c r="DA9"/>
  <c r="DA14"/>
  <c r="DA12"/>
  <c r="DA16"/>
  <c r="DA19" s="1"/>
  <c r="DA20" s="1"/>
  <c r="DB10"/>
  <c r="DB14"/>
  <c r="DB17"/>
  <c r="DB11"/>
  <c r="DB9"/>
  <c r="DB12"/>
  <c r="DB16"/>
  <c r="DB19" s="1"/>
  <c r="DB8"/>
  <c r="DB15" s="1"/>
  <c r="DB13"/>
  <c r="AD8" i="4"/>
  <c r="AD15" s="1"/>
  <c r="AD16"/>
  <c r="AD17"/>
  <c r="AD12"/>
  <c r="AD14"/>
  <c r="AD18"/>
  <c r="AD13"/>
  <c r="AD19"/>
  <c r="AD10"/>
  <c r="AD11"/>
  <c r="AD9"/>
  <c r="P47" i="7"/>
  <c r="P48"/>
  <c r="BD20" i="5"/>
  <c r="BD22" s="1"/>
  <c r="BP20"/>
  <c r="BP22" s="1"/>
  <c r="CB20"/>
  <c r="CB22" s="1"/>
  <c r="CN20"/>
  <c r="CN22" s="1"/>
  <c r="CZ20"/>
  <c r="CZ22" s="1"/>
  <c r="AE10" i="4"/>
  <c r="AE11"/>
  <c r="AE14"/>
  <c r="AE9"/>
  <c r="AE13"/>
  <c r="AE17"/>
  <c r="AE8"/>
  <c r="AE15" s="1"/>
  <c r="AE12"/>
  <c r="AE16"/>
  <c r="AE19" s="1"/>
  <c r="AE18"/>
  <c r="AA10"/>
  <c r="AA9"/>
  <c r="AA12"/>
  <c r="AA18"/>
  <c r="AA16"/>
  <c r="AA19" s="1"/>
  <c r="AA8"/>
  <c r="AA15" s="1"/>
  <c r="AA11"/>
  <c r="AA14"/>
  <c r="AA13"/>
  <c r="AA17"/>
  <c r="AJ12"/>
  <c r="AJ18"/>
  <c r="AJ9"/>
  <c r="AJ11"/>
  <c r="AJ10"/>
  <c r="AJ8"/>
  <c r="AJ15" s="1"/>
  <c r="AJ17"/>
  <c r="AJ14"/>
  <c r="AJ13"/>
  <c r="AJ16"/>
  <c r="AJ19" s="1"/>
  <c r="AV11"/>
  <c r="AV8"/>
  <c r="AV15" s="1"/>
  <c r="AV17"/>
  <c r="AV16"/>
  <c r="AV19" s="1"/>
  <c r="AV13"/>
  <c r="AV10"/>
  <c r="AV18"/>
  <c r="AV14"/>
  <c r="AV12"/>
  <c r="AV9"/>
  <c r="BH8"/>
  <c r="BH15" s="1"/>
  <c r="BH10"/>
  <c r="BH12"/>
  <c r="BH14"/>
  <c r="BH16"/>
  <c r="BH19" s="1"/>
  <c r="BH17"/>
  <c r="BH11"/>
  <c r="BH13"/>
  <c r="BH18"/>
  <c r="BH9"/>
  <c r="BN17"/>
  <c r="BN14"/>
  <c r="BN11"/>
  <c r="BN12"/>
  <c r="BN18"/>
  <c r="BN16"/>
  <c r="BN19" s="1"/>
  <c r="BN9"/>
  <c r="BN8"/>
  <c r="BN15" s="1"/>
  <c r="BN10"/>
  <c r="BN13"/>
  <c r="CA14"/>
  <c r="CA9"/>
  <c r="CA12"/>
  <c r="CA17"/>
  <c r="CG9"/>
  <c r="CG17"/>
  <c r="CG10"/>
  <c r="CG11"/>
  <c r="CG16"/>
  <c r="CG19" s="1"/>
  <c r="CF14"/>
  <c r="CF8"/>
  <c r="CF15" s="1"/>
  <c r="CF13"/>
  <c r="CF11"/>
  <c r="CF12"/>
  <c r="CF18"/>
  <c r="CF16"/>
  <c r="CF17"/>
  <c r="CF10"/>
  <c r="CF9"/>
  <c r="CF19"/>
  <c r="CR8"/>
  <c r="CR15" s="1"/>
  <c r="CR10"/>
  <c r="CR12"/>
  <c r="CR14"/>
  <c r="CR16"/>
  <c r="CR17"/>
  <c r="CR11"/>
  <c r="CR18"/>
  <c r="CR19"/>
  <c r="CR13"/>
  <c r="CR9"/>
  <c r="CX10"/>
  <c r="CX14"/>
  <c r="CX11"/>
  <c r="CX17"/>
  <c r="CX18"/>
  <c r="CX9"/>
  <c r="CX12"/>
  <c r="CX8"/>
  <c r="CX15" s="1"/>
  <c r="CX16"/>
  <c r="CX19" s="1"/>
  <c r="CX13"/>
  <c r="AT9" i="5"/>
  <c r="AT16"/>
  <c r="AT19" s="1"/>
  <c r="AT18"/>
  <c r="AT11"/>
  <c r="AT14"/>
  <c r="AT12"/>
  <c r="AT17"/>
  <c r="AT8"/>
  <c r="AT15" s="1"/>
  <c r="AT13"/>
  <c r="AT10"/>
  <c r="BR9"/>
  <c r="BR12"/>
  <c r="BR16"/>
  <c r="BR19" s="1"/>
  <c r="BR11"/>
  <c r="BR10"/>
  <c r="BR14"/>
  <c r="BR17"/>
  <c r="BR8"/>
  <c r="BR15" s="1"/>
  <c r="BR20" s="1"/>
  <c r="BR13"/>
  <c r="CC18"/>
  <c r="CC14"/>
  <c r="CC17"/>
  <c r="CC16"/>
  <c r="CC19" s="1"/>
  <c r="CC12"/>
  <c r="CC13"/>
  <c r="CC10"/>
  <c r="CC8"/>
  <c r="CC15" s="1"/>
  <c r="CC20" s="1"/>
  <c r="CC11"/>
  <c r="CC9"/>
  <c r="CI11"/>
  <c r="CI9"/>
  <c r="CI16"/>
  <c r="CI19" s="1"/>
  <c r="CI13"/>
  <c r="CI10"/>
  <c r="CI8"/>
  <c r="CI15" s="1"/>
  <c r="CI12"/>
  <c r="CI17"/>
  <c r="CI18"/>
  <c r="CI14"/>
  <c r="BF10"/>
  <c r="BF12"/>
  <c r="BF17"/>
  <c r="BF11"/>
  <c r="BF9"/>
  <c r="BF16"/>
  <c r="BF19" s="1"/>
  <c r="BF8"/>
  <c r="BF15" s="1"/>
  <c r="CG20" i="4"/>
  <c r="CY20"/>
  <c r="CA20"/>
  <c r="DB20"/>
  <c r="P32" i="7"/>
  <c r="BM20" i="4"/>
  <c r="BM22" s="1"/>
  <c r="T20" i="5"/>
  <c r="T22" s="1"/>
  <c r="AF20"/>
  <c r="AF22" s="1"/>
  <c r="CV20" i="4"/>
  <c r="CS20"/>
  <c r="AX20" i="5"/>
  <c r="AX22" s="1"/>
  <c r="BJ20"/>
  <c r="BJ22" s="1"/>
  <c r="BV20"/>
  <c r="BV22" s="1"/>
  <c r="CH20"/>
  <c r="CH22" s="1"/>
  <c r="CT20"/>
  <c r="CT22" s="1"/>
  <c r="AW20" i="4"/>
  <c r="R28" i="7"/>
  <c r="R26"/>
  <c r="R29" s="1"/>
  <c r="R27"/>
  <c r="V26"/>
  <c r="V29" s="1"/>
  <c r="V30" s="1"/>
  <c r="V32" s="1"/>
  <c r="V28"/>
  <c r="V27"/>
  <c r="W28"/>
  <c r="W27"/>
  <c r="W26"/>
  <c r="W29" s="1"/>
  <c r="W30" s="1"/>
  <c r="X28"/>
  <c r="X26"/>
  <c r="X29" s="1"/>
  <c r="X30" s="1"/>
  <c r="R30"/>
  <c r="X65" i="5"/>
  <c r="AA20"/>
  <c r="CU20"/>
  <c r="BQ20"/>
  <c r="BK20"/>
  <c r="AM20"/>
  <c r="AY20"/>
  <c r="AH20"/>
  <c r="X20"/>
  <c r="AJ20"/>
  <c r="AV20"/>
  <c r="BB20"/>
  <c r="BH20"/>
  <c r="BT20"/>
  <c r="AG20"/>
  <c r="AS20"/>
  <c r="BW20"/>
  <c r="R46" i="7"/>
  <c r="R49" s="1"/>
  <c r="R50" s="1"/>
  <c r="R48"/>
  <c r="R47"/>
  <c r="R20" i="5"/>
  <c r="AD20"/>
  <c r="AP20"/>
  <c r="BN20"/>
  <c r="BZ20"/>
  <c r="U20"/>
  <c r="BE20"/>
  <c r="U63" i="4"/>
  <c r="U62"/>
  <c r="U61"/>
  <c r="U26" i="7"/>
  <c r="U29" s="1"/>
  <c r="U30" s="1"/>
  <c r="U28"/>
  <c r="U27"/>
  <c r="Q62" i="4"/>
  <c r="Q63"/>
  <c r="Q61"/>
  <c r="Y50"/>
  <c r="Y60"/>
  <c r="W52"/>
  <c r="Y58"/>
  <c r="X58"/>
  <c r="W56"/>
  <c r="X55"/>
  <c r="Y53"/>
  <c r="W55"/>
  <c r="Y52"/>
  <c r="X60"/>
  <c r="X56"/>
  <c r="W53"/>
  <c r="Y57"/>
  <c r="Y54"/>
  <c r="W57"/>
  <c r="Y55"/>
  <c r="Y56"/>
  <c r="W54"/>
  <c r="W60"/>
  <c r="X53"/>
  <c r="X54"/>
  <c r="W58"/>
  <c r="X57"/>
  <c r="X52"/>
  <c r="T59"/>
  <c r="T64"/>
  <c r="BX20"/>
  <c r="CM20"/>
  <c r="BI20"/>
  <c r="V61"/>
  <c r="V63"/>
  <c r="V62"/>
  <c r="R62"/>
  <c r="R61"/>
  <c r="R63"/>
  <c r="S27" i="7"/>
  <c r="S28"/>
  <c r="S26"/>
  <c r="S29" s="1"/>
  <c r="S30" s="1"/>
  <c r="S32" s="1"/>
  <c r="S61" i="4"/>
  <c r="S63"/>
  <c r="S62"/>
  <c r="Q48" i="7"/>
  <c r="Q46"/>
  <c r="Q49" s="1"/>
  <c r="Q50" s="1"/>
  <c r="Q47"/>
  <c r="W46"/>
  <c r="W49" s="1"/>
  <c r="W50" s="1"/>
  <c r="W48"/>
  <c r="W47"/>
  <c r="V48"/>
  <c r="V47"/>
  <c r="V46"/>
  <c r="V49" s="1"/>
  <c r="V50" s="1"/>
  <c r="V52" s="1"/>
  <c r="T26"/>
  <c r="T29" s="1"/>
  <c r="T30" s="1"/>
  <c r="T28"/>
  <c r="T27"/>
  <c r="BL20" i="4"/>
  <c r="AH20"/>
  <c r="Q59"/>
  <c r="Q28" i="7"/>
  <c r="Q26"/>
  <c r="Q29" s="1"/>
  <c r="Q30" s="1"/>
  <c r="Q27"/>
  <c r="Q41" i="11"/>
  <c r="CP20" i="5" l="1"/>
  <c r="G12"/>
  <c r="G14" s="1"/>
  <c r="X69"/>
  <c r="BQ20" i="4"/>
  <c r="BE20"/>
  <c r="CO20"/>
  <c r="AT20" i="5"/>
  <c r="BN20" i="4"/>
  <c r="BZ20"/>
  <c r="DA20"/>
  <c r="AS20"/>
  <c r="AG20"/>
  <c r="CC20"/>
  <c r="BU20" i="5"/>
  <c r="BF20"/>
  <c r="CM20"/>
  <c r="CA20"/>
  <c r="AD20" i="4"/>
  <c r="BB20"/>
  <c r="DB20" i="5"/>
  <c r="V20"/>
  <c r="X59" i="4"/>
  <c r="W59"/>
  <c r="S64"/>
  <c r="S65" s="1"/>
  <c r="Y59"/>
  <c r="AE20"/>
  <c r="CI20" i="5"/>
  <c r="AV20" i="4"/>
  <c r="AJ20"/>
  <c r="AA20"/>
  <c r="BT20"/>
  <c r="AB20"/>
  <c r="U20"/>
  <c r="CX20"/>
  <c r="CR20"/>
  <c r="CF20"/>
  <c r="BH20"/>
  <c r="CO20" i="5"/>
  <c r="CL20" i="4"/>
  <c r="W79" i="5"/>
  <c r="X74"/>
  <c r="W81"/>
  <c r="W71"/>
  <c r="Y75"/>
  <c r="Y72"/>
  <c r="X73"/>
  <c r="W74"/>
  <c r="W80"/>
  <c r="X75"/>
  <c r="W73"/>
  <c r="Y69"/>
  <c r="W84" s="1"/>
  <c r="X84" s="1"/>
  <c r="Y74"/>
  <c r="X72"/>
  <c r="Y73"/>
  <c r="W75"/>
  <c r="Y71"/>
  <c r="W72"/>
  <c r="X71"/>
  <c r="G15"/>
  <c r="Y62" i="4"/>
  <c r="Y61"/>
  <c r="Y63"/>
  <c r="R64"/>
  <c r="R65" s="1"/>
  <c r="V64"/>
  <c r="V65" s="1"/>
  <c r="T65"/>
  <c r="Q64"/>
  <c r="U64"/>
  <c r="U65" s="1"/>
  <c r="W63"/>
  <c r="W61"/>
  <c r="W62"/>
  <c r="X62"/>
  <c r="X63"/>
  <c r="X61"/>
  <c r="Q65"/>
  <c r="Q67" s="1"/>
  <c r="C17" s="1"/>
  <c r="L41" s="1"/>
  <c r="R41" i="11"/>
  <c r="R34"/>
  <c r="T67" i="4" l="1"/>
  <c r="E19" s="1"/>
  <c r="E20" s="1"/>
  <c r="E21" s="1"/>
  <c r="W76" i="5"/>
  <c r="X76"/>
  <c r="Y76"/>
  <c r="C21"/>
  <c r="T26"/>
  <c r="I56" i="9"/>
  <c r="J39"/>
  <c r="T55" s="1"/>
  <c r="I31"/>
  <c r="J27"/>
  <c r="Q55" s="1"/>
  <c r="I19"/>
  <c r="I44"/>
  <c r="I20"/>
  <c r="I41"/>
  <c r="I53"/>
  <c r="K53"/>
  <c r="K41"/>
  <c r="W15"/>
  <c r="T15"/>
  <c r="K33"/>
  <c r="Q15"/>
  <c r="K21"/>
  <c r="I17"/>
  <c r="K17"/>
  <c r="N35"/>
  <c r="Q35"/>
  <c r="Q26" i="5"/>
  <c r="I55" i="9"/>
  <c r="J51"/>
  <c r="W55" s="1"/>
  <c r="I43"/>
  <c r="J43" s="1"/>
  <c r="I32"/>
  <c r="J15"/>
  <c r="N55" s="1"/>
  <c r="I51"/>
  <c r="I52" s="1"/>
  <c r="I39"/>
  <c r="J31"/>
  <c r="I40"/>
  <c r="T35"/>
  <c r="K45"/>
  <c r="I45"/>
  <c r="W35"/>
  <c r="I57"/>
  <c r="K57"/>
  <c r="I33"/>
  <c r="K29"/>
  <c r="I29"/>
  <c r="I21"/>
  <c r="N15"/>
  <c r="B21" i="5"/>
  <c r="B23" s="1"/>
  <c r="D21"/>
  <c r="D22"/>
  <c r="G16"/>
  <c r="W82"/>
  <c r="X82" s="1"/>
  <c r="W77"/>
  <c r="X64" i="4"/>
  <c r="X65" s="1"/>
  <c r="W64"/>
  <c r="W65" s="1"/>
  <c r="W67" s="1"/>
  <c r="G17" s="1"/>
  <c r="Y64"/>
  <c r="Y65" s="1"/>
  <c r="D20"/>
  <c r="C19"/>
  <c r="C20"/>
  <c r="I27" i="9" l="1"/>
  <c r="I28" s="1"/>
  <c r="AC26" i="5"/>
  <c r="B24"/>
  <c r="I24"/>
  <c r="J20"/>
  <c r="O20" i="9"/>
  <c r="M20"/>
  <c r="M19"/>
  <c r="M25"/>
  <c r="O23"/>
  <c r="M22"/>
  <c r="N17"/>
  <c r="N24" s="1"/>
  <c r="N22"/>
  <c r="M23"/>
  <c r="N23"/>
  <c r="N21"/>
  <c r="O15"/>
  <c r="M21"/>
  <c r="O19"/>
  <c r="O17"/>
  <c r="O24" s="1"/>
  <c r="O21"/>
  <c r="O25"/>
  <c r="N25"/>
  <c r="N20"/>
  <c r="N18"/>
  <c r="N19"/>
  <c r="O22"/>
  <c r="O18"/>
  <c r="M17"/>
  <c r="M24" s="1"/>
  <c r="M18"/>
  <c r="X43"/>
  <c r="X37"/>
  <c r="X44" s="1"/>
  <c r="V42"/>
  <c r="X45"/>
  <c r="W37"/>
  <c r="W44" s="1"/>
  <c r="V40"/>
  <c r="X42"/>
  <c r="W41"/>
  <c r="V38"/>
  <c r="X40"/>
  <c r="V41"/>
  <c r="W45"/>
  <c r="X38"/>
  <c r="W43"/>
  <c r="W42"/>
  <c r="X35"/>
  <c r="V37"/>
  <c r="V44" s="1"/>
  <c r="W38"/>
  <c r="V43"/>
  <c r="V39"/>
  <c r="X41"/>
  <c r="W39"/>
  <c r="W40"/>
  <c r="X39"/>
  <c r="V45"/>
  <c r="V57"/>
  <c r="V64" s="1"/>
  <c r="W57"/>
  <c r="V60"/>
  <c r="X62"/>
  <c r="X57"/>
  <c r="X64" s="1"/>
  <c r="W58"/>
  <c r="V59"/>
  <c r="W61"/>
  <c r="V62"/>
  <c r="X55"/>
  <c r="V72" s="1"/>
  <c r="V65"/>
  <c r="X59"/>
  <c r="W62"/>
  <c r="V61"/>
  <c r="W65"/>
  <c r="X65"/>
  <c r="X58"/>
  <c r="W59"/>
  <c r="X61"/>
  <c r="W64"/>
  <c r="V63"/>
  <c r="V58"/>
  <c r="W60"/>
  <c r="X60"/>
  <c r="W63"/>
  <c r="X63"/>
  <c r="Q37"/>
  <c r="R39"/>
  <c r="P42"/>
  <c r="Q41"/>
  <c r="P37"/>
  <c r="P44" s="1"/>
  <c r="P40"/>
  <c r="R40"/>
  <c r="R43"/>
  <c r="P38"/>
  <c r="R42"/>
  <c r="Q40"/>
  <c r="R35"/>
  <c r="Q44"/>
  <c r="Q45"/>
  <c r="Q43"/>
  <c r="P43"/>
  <c r="R38"/>
  <c r="P41"/>
  <c r="Q39"/>
  <c r="Q38"/>
  <c r="P39"/>
  <c r="R45"/>
  <c r="Q42"/>
  <c r="R37"/>
  <c r="R44" s="1"/>
  <c r="R41"/>
  <c r="P45"/>
  <c r="T21"/>
  <c r="S20"/>
  <c r="U20"/>
  <c r="U17"/>
  <c r="U24" s="1"/>
  <c r="T20"/>
  <c r="U19"/>
  <c r="S22"/>
  <c r="T25"/>
  <c r="T22"/>
  <c r="S19"/>
  <c r="S25"/>
  <c r="T18"/>
  <c r="S18"/>
  <c r="U23"/>
  <c r="T23"/>
  <c r="S21"/>
  <c r="U15"/>
  <c r="S17"/>
  <c r="S24" s="1"/>
  <c r="T17"/>
  <c r="T24" s="1"/>
  <c r="U21"/>
  <c r="S23"/>
  <c r="U22"/>
  <c r="U18"/>
  <c r="U25"/>
  <c r="T19"/>
  <c r="G18" i="5"/>
  <c r="X77"/>
  <c r="K31" i="9"/>
  <c r="J19"/>
  <c r="I15"/>
  <c r="I16" s="1"/>
  <c r="K51"/>
  <c r="S42"/>
  <c r="S38"/>
  <c r="S43"/>
  <c r="U45"/>
  <c r="T40"/>
  <c r="U42"/>
  <c r="U39"/>
  <c r="U38"/>
  <c r="U43"/>
  <c r="S39"/>
  <c r="T38"/>
  <c r="U37"/>
  <c r="U44" s="1"/>
  <c r="T45"/>
  <c r="S40"/>
  <c r="T43"/>
  <c r="T39"/>
  <c r="T42"/>
  <c r="U40"/>
  <c r="S37"/>
  <c r="S44" s="1"/>
  <c r="T37"/>
  <c r="T44" s="1"/>
  <c r="S41"/>
  <c r="U41"/>
  <c r="S45"/>
  <c r="U35"/>
  <c r="T41"/>
  <c r="M63"/>
  <c r="M61"/>
  <c r="M59"/>
  <c r="N62"/>
  <c r="O65"/>
  <c r="O61"/>
  <c r="O57"/>
  <c r="O64" s="1"/>
  <c r="N61"/>
  <c r="M62"/>
  <c r="M60"/>
  <c r="M58"/>
  <c r="N60"/>
  <c r="O55"/>
  <c r="M72" s="1"/>
  <c r="M65"/>
  <c r="O62"/>
  <c r="O60"/>
  <c r="O58"/>
  <c r="M57"/>
  <c r="M64" s="1"/>
  <c r="N63"/>
  <c r="N59"/>
  <c r="N58"/>
  <c r="O63"/>
  <c r="O59"/>
  <c r="N65"/>
  <c r="N57"/>
  <c r="N64" s="1"/>
  <c r="Q32" i="5"/>
  <c r="S26"/>
  <c r="Q38"/>
  <c r="Q31"/>
  <c r="Q28"/>
  <c r="Q30"/>
  <c r="R26"/>
  <c r="Q34"/>
  <c r="Q33"/>
  <c r="Q37"/>
  <c r="Q29"/>
  <c r="Q36"/>
  <c r="Q27"/>
  <c r="M37" i="9"/>
  <c r="M44" s="1"/>
  <c r="N37"/>
  <c r="N44" s="1"/>
  <c r="N40"/>
  <c r="M40"/>
  <c r="M42"/>
  <c r="O38"/>
  <c r="N39"/>
  <c r="N38"/>
  <c r="M39"/>
  <c r="O41"/>
  <c r="O43"/>
  <c r="N43"/>
  <c r="N41"/>
  <c r="O35"/>
  <c r="M38"/>
  <c r="O42"/>
  <c r="N45"/>
  <c r="O40"/>
  <c r="M43"/>
  <c r="M45"/>
  <c r="O37"/>
  <c r="O44" s="1"/>
  <c r="O45"/>
  <c r="N42"/>
  <c r="M41"/>
  <c r="O39"/>
  <c r="K15"/>
  <c r="J3"/>
  <c r="Q20"/>
  <c r="P25"/>
  <c r="P18"/>
  <c r="Q22"/>
  <c r="P23"/>
  <c r="P17"/>
  <c r="Q17"/>
  <c r="Q24" s="1"/>
  <c r="P22"/>
  <c r="Q25"/>
  <c r="P19"/>
  <c r="P21"/>
  <c r="Q23"/>
  <c r="R23"/>
  <c r="P20"/>
  <c r="Q21"/>
  <c r="R22"/>
  <c r="R18"/>
  <c r="R19"/>
  <c r="R21"/>
  <c r="R17"/>
  <c r="R24" s="1"/>
  <c r="Q18"/>
  <c r="R20"/>
  <c r="R15"/>
  <c r="R25"/>
  <c r="Q19"/>
  <c r="P24"/>
  <c r="W19"/>
  <c r="V20"/>
  <c r="W25"/>
  <c r="X20"/>
  <c r="W22"/>
  <c r="V18"/>
  <c r="V23"/>
  <c r="X23"/>
  <c r="W21"/>
  <c r="W20"/>
  <c r="X15"/>
  <c r="V19"/>
  <c r="V22"/>
  <c r="X19"/>
  <c r="X22"/>
  <c r="V17"/>
  <c r="V24" s="1"/>
  <c r="X17"/>
  <c r="X24" s="1"/>
  <c r="X21"/>
  <c r="W18"/>
  <c r="X25"/>
  <c r="X18"/>
  <c r="W23"/>
  <c r="V21"/>
  <c r="V25"/>
  <c r="W17"/>
  <c r="W24" s="1"/>
  <c r="Q61"/>
  <c r="R62"/>
  <c r="R58"/>
  <c r="Q65"/>
  <c r="P60"/>
  <c r="Q63"/>
  <c r="Q59"/>
  <c r="R65"/>
  <c r="R63"/>
  <c r="R61"/>
  <c r="R59"/>
  <c r="R57"/>
  <c r="R64" s="1"/>
  <c r="R55"/>
  <c r="P72" s="1"/>
  <c r="Q62"/>
  <c r="Q58"/>
  <c r="P63"/>
  <c r="P61"/>
  <c r="P59"/>
  <c r="Q57"/>
  <c r="Q64" s="1"/>
  <c r="P65"/>
  <c r="R60"/>
  <c r="P57"/>
  <c r="P64" s="1"/>
  <c r="Q60"/>
  <c r="P62"/>
  <c r="P58"/>
  <c r="S57"/>
  <c r="S64" s="1"/>
  <c r="U55"/>
  <c r="S72" s="1"/>
  <c r="U60"/>
  <c r="T63"/>
  <c r="U65"/>
  <c r="U59"/>
  <c r="T61"/>
  <c r="S63"/>
  <c r="U58"/>
  <c r="T59"/>
  <c r="S62"/>
  <c r="U57"/>
  <c r="U64" s="1"/>
  <c r="T57"/>
  <c r="T64" s="1"/>
  <c r="S61"/>
  <c r="T65"/>
  <c r="S65"/>
  <c r="S60"/>
  <c r="T62"/>
  <c r="U63"/>
  <c r="S59"/>
  <c r="T60"/>
  <c r="U62"/>
  <c r="S58"/>
  <c r="T58"/>
  <c r="U61"/>
  <c r="T29" i="5"/>
  <c r="U26"/>
  <c r="T34"/>
  <c r="T33"/>
  <c r="T37"/>
  <c r="V26"/>
  <c r="T28"/>
  <c r="T27"/>
  <c r="T30"/>
  <c r="T32"/>
  <c r="T31"/>
  <c r="T38"/>
  <c r="T36"/>
  <c r="K19" i="9"/>
  <c r="K43"/>
  <c r="K39"/>
  <c r="J55"/>
  <c r="K55" s="1"/>
  <c r="K24" i="11"/>
  <c r="R70" i="4"/>
  <c r="G19"/>
  <c r="L42"/>
  <c r="C21"/>
  <c r="K27" i="9" l="1"/>
  <c r="Q35" i="5"/>
  <c r="V33"/>
  <c r="V36"/>
  <c r="V29"/>
  <c r="V34"/>
  <c r="V31"/>
  <c r="V28"/>
  <c r="V37"/>
  <c r="V32"/>
  <c r="V30"/>
  <c r="V38"/>
  <c r="U34"/>
  <c r="U32"/>
  <c r="U29"/>
  <c r="U37"/>
  <c r="U28"/>
  <c r="U36"/>
  <c r="U39" s="1"/>
  <c r="U33"/>
  <c r="U30"/>
  <c r="U38"/>
  <c r="U31"/>
  <c r="T66" i="9"/>
  <c r="T69" s="1"/>
  <c r="T70" s="1"/>
  <c r="T68"/>
  <c r="T67"/>
  <c r="R67"/>
  <c r="R66"/>
  <c r="R69" s="1"/>
  <c r="R70" s="1"/>
  <c r="R68"/>
  <c r="V26"/>
  <c r="V29" s="1"/>
  <c r="V30" s="1"/>
  <c r="V32" s="1"/>
  <c r="V27"/>
  <c r="V28"/>
  <c r="Q28"/>
  <c r="Q26"/>
  <c r="Q29" s="1"/>
  <c r="Q30" s="1"/>
  <c r="Q27"/>
  <c r="O46"/>
  <c r="O49" s="1"/>
  <c r="O50" s="1"/>
  <c r="O47"/>
  <c r="O48"/>
  <c r="M47"/>
  <c r="M48"/>
  <c r="M46"/>
  <c r="M49" s="1"/>
  <c r="M50" s="1"/>
  <c r="M52" s="1"/>
  <c r="R32" i="5"/>
  <c r="R38"/>
  <c r="R31"/>
  <c r="R28"/>
  <c r="R36"/>
  <c r="R37"/>
  <c r="R29"/>
  <c r="R30"/>
  <c r="R34"/>
  <c r="R33"/>
  <c r="N67" i="9"/>
  <c r="N66"/>
  <c r="N69" s="1"/>
  <c r="N70" s="1"/>
  <c r="N68"/>
  <c r="M67"/>
  <c r="M68"/>
  <c r="M66"/>
  <c r="M69" s="1"/>
  <c r="M70" s="1"/>
  <c r="S48"/>
  <c r="S47"/>
  <c r="S46"/>
  <c r="S49" s="1"/>
  <c r="S50" s="1"/>
  <c r="S52" s="1"/>
  <c r="T46"/>
  <c r="T49" s="1"/>
  <c r="T50" s="1"/>
  <c r="T48"/>
  <c r="T47"/>
  <c r="U28"/>
  <c r="U27"/>
  <c r="U26"/>
  <c r="U29" s="1"/>
  <c r="T26"/>
  <c r="T29" s="1"/>
  <c r="T30" s="1"/>
  <c r="T28"/>
  <c r="T27"/>
  <c r="P46"/>
  <c r="P49" s="1"/>
  <c r="P47"/>
  <c r="P48"/>
  <c r="R46"/>
  <c r="R49" s="1"/>
  <c r="R50" s="1"/>
  <c r="R48"/>
  <c r="R47"/>
  <c r="Q46"/>
  <c r="Q49" s="1"/>
  <c r="Q48"/>
  <c r="Q47"/>
  <c r="X66"/>
  <c r="X69" s="1"/>
  <c r="X70" s="1"/>
  <c r="X68"/>
  <c r="X67"/>
  <c r="W48"/>
  <c r="W46"/>
  <c r="W49" s="1"/>
  <c r="W50" s="1"/>
  <c r="W47"/>
  <c r="X48"/>
  <c r="X46"/>
  <c r="X49" s="1"/>
  <c r="X50" s="1"/>
  <c r="X47"/>
  <c r="O26"/>
  <c r="O29" s="1"/>
  <c r="O30" s="1"/>
  <c r="O28"/>
  <c r="O27"/>
  <c r="M28"/>
  <c r="M26"/>
  <c r="M29" s="1"/>
  <c r="M27"/>
  <c r="AF26" i="5"/>
  <c r="I20"/>
  <c r="B25"/>
  <c r="U30" i="9"/>
  <c r="U68"/>
  <c r="U67"/>
  <c r="U66"/>
  <c r="U69" s="1"/>
  <c r="U70" s="1"/>
  <c r="P68"/>
  <c r="P66"/>
  <c r="P69" s="1"/>
  <c r="P70" s="1"/>
  <c r="P67"/>
  <c r="X26"/>
  <c r="X29" s="1"/>
  <c r="X30" s="1"/>
  <c r="X27"/>
  <c r="X28"/>
  <c r="S68"/>
  <c r="S67"/>
  <c r="S66"/>
  <c r="S69" s="1"/>
  <c r="S70" s="1"/>
  <c r="Q68"/>
  <c r="Q67"/>
  <c r="Q66"/>
  <c r="Q69" s="1"/>
  <c r="Q70" s="1"/>
  <c r="W26"/>
  <c r="W29" s="1"/>
  <c r="W28"/>
  <c r="W27"/>
  <c r="R26"/>
  <c r="R29" s="1"/>
  <c r="R30" s="1"/>
  <c r="R28"/>
  <c r="R27"/>
  <c r="P26"/>
  <c r="P29" s="1"/>
  <c r="P30" s="1"/>
  <c r="P32" s="1"/>
  <c r="P27"/>
  <c r="P28"/>
  <c r="F55"/>
  <c r="F31"/>
  <c r="F19"/>
  <c r="F43"/>
  <c r="F42"/>
  <c r="F18"/>
  <c r="F54"/>
  <c r="F30"/>
  <c r="N46"/>
  <c r="N49" s="1"/>
  <c r="N48"/>
  <c r="N47"/>
  <c r="S28" i="5"/>
  <c r="S36"/>
  <c r="S31"/>
  <c r="S37"/>
  <c r="S38"/>
  <c r="S33"/>
  <c r="S30"/>
  <c r="S29"/>
  <c r="S34"/>
  <c r="S32"/>
  <c r="O68" i="9"/>
  <c r="O67"/>
  <c r="O66"/>
  <c r="O69" s="1"/>
  <c r="O70" s="1"/>
  <c r="U47"/>
  <c r="U48"/>
  <c r="U46"/>
  <c r="U49" s="1"/>
  <c r="S27"/>
  <c r="S26"/>
  <c r="S29" s="1"/>
  <c r="S30" s="1"/>
  <c r="S32" s="1"/>
  <c r="S28"/>
  <c r="W68"/>
  <c r="W67"/>
  <c r="W66"/>
  <c r="W69" s="1"/>
  <c r="W70" s="1"/>
  <c r="V68"/>
  <c r="V67"/>
  <c r="V66"/>
  <c r="V69" s="1"/>
  <c r="V70" s="1"/>
  <c r="V46"/>
  <c r="V49" s="1"/>
  <c r="V50" s="1"/>
  <c r="V52" s="1"/>
  <c r="V48"/>
  <c r="V47"/>
  <c r="N28"/>
  <c r="N27"/>
  <c r="N26"/>
  <c r="N29" s="1"/>
  <c r="N30" s="1"/>
  <c r="AD28" i="5"/>
  <c r="AD35" s="1"/>
  <c r="AD31"/>
  <c r="AC38"/>
  <c r="AE32"/>
  <c r="AD26"/>
  <c r="AE26"/>
  <c r="AD34"/>
  <c r="AE29"/>
  <c r="AC33"/>
  <c r="AC28"/>
  <c r="AC35" s="1"/>
  <c r="AE33"/>
  <c r="AC34"/>
  <c r="AC30"/>
  <c r="AE31"/>
  <c r="AE34"/>
  <c r="AE30"/>
  <c r="AE28"/>
  <c r="AE35" s="1"/>
  <c r="AC27"/>
  <c r="AC31"/>
  <c r="AD29"/>
  <c r="AD30"/>
  <c r="AC37"/>
  <c r="AC36"/>
  <c r="AC39" s="1"/>
  <c r="AC29"/>
  <c r="AD33"/>
  <c r="AD32"/>
  <c r="AC32"/>
  <c r="T39"/>
  <c r="T35"/>
  <c r="W30" i="9"/>
  <c r="N50"/>
  <c r="Q39" i="5"/>
  <c r="Q40" s="1"/>
  <c r="U50" i="9"/>
  <c r="Q50"/>
  <c r="P50"/>
  <c r="P52" s="1"/>
  <c r="M30"/>
  <c r="M32" s="1"/>
  <c r="I25" i="5"/>
  <c r="J24" s="1"/>
  <c r="F20" i="4"/>
  <c r="G20"/>
  <c r="L24" i="11"/>
  <c r="J24" s="1"/>
  <c r="X70" i="4"/>
  <c r="Q81"/>
  <c r="S76"/>
  <c r="Q73"/>
  <c r="Q72"/>
  <c r="S70"/>
  <c r="Q85" s="1"/>
  <c r="R85" s="1"/>
  <c r="R72"/>
  <c r="R75"/>
  <c r="Q74"/>
  <c r="Q80"/>
  <c r="S73"/>
  <c r="R73"/>
  <c r="R74"/>
  <c r="S74"/>
  <c r="R76"/>
  <c r="Q75"/>
  <c r="Q76"/>
  <c r="S75"/>
  <c r="Q82"/>
  <c r="S72"/>
  <c r="AC40" i="5" l="1"/>
  <c r="AC42" s="1"/>
  <c r="T40"/>
  <c r="V35"/>
  <c r="L44" i="4"/>
  <c r="F29"/>
  <c r="S77"/>
  <c r="Q77"/>
  <c r="Q83"/>
  <c r="R83" s="1"/>
  <c r="B29"/>
  <c r="C12" i="11"/>
  <c r="O7" s="1"/>
  <c r="R77" i="4"/>
  <c r="S39" i="5"/>
  <c r="V39"/>
  <c r="U35"/>
  <c r="AE37"/>
  <c r="AE36"/>
  <c r="AE39" s="1"/>
  <c r="AE40" s="1"/>
  <c r="AE38"/>
  <c r="AD37"/>
  <c r="AD38"/>
  <c r="AD36"/>
  <c r="AD39" s="1"/>
  <c r="AD40" s="1"/>
  <c r="AG34"/>
  <c r="AG26"/>
  <c r="AG29"/>
  <c r="AF27"/>
  <c r="AH26"/>
  <c r="AG28"/>
  <c r="AF28"/>
  <c r="AH31"/>
  <c r="AF34"/>
  <c r="AF37"/>
  <c r="AF30"/>
  <c r="AH30"/>
  <c r="AF29"/>
  <c r="AG31"/>
  <c r="AG32"/>
  <c r="AH34"/>
  <c r="AG30"/>
  <c r="AH32"/>
  <c r="AF31"/>
  <c r="AG33"/>
  <c r="AH28"/>
  <c r="AH29"/>
  <c r="AF32"/>
  <c r="AF33"/>
  <c r="AF38"/>
  <c r="AH33"/>
  <c r="AF36"/>
  <c r="S35"/>
  <c r="S40" s="1"/>
  <c r="Q42" s="1"/>
  <c r="B33" s="1"/>
  <c r="B34" s="1"/>
  <c r="R39"/>
  <c r="I21"/>
  <c r="R35"/>
  <c r="R40" s="1"/>
  <c r="U40"/>
  <c r="V40"/>
  <c r="B2" i="11"/>
  <c r="G2"/>
  <c r="J17"/>
  <c r="B4"/>
  <c r="B5"/>
  <c r="B7"/>
  <c r="E19"/>
  <c r="E17" s="1"/>
  <c r="B3"/>
  <c r="B6"/>
  <c r="Y70" i="4"/>
  <c r="W85" s="1"/>
  <c r="X85" s="1"/>
  <c r="Y74"/>
  <c r="X72"/>
  <c r="X75"/>
  <c r="W74"/>
  <c r="Y73"/>
  <c r="W75"/>
  <c r="Y76"/>
  <c r="W73"/>
  <c r="Y75"/>
  <c r="W80"/>
  <c r="X73"/>
  <c r="W82"/>
  <c r="W72"/>
  <c r="X74"/>
  <c r="Y72"/>
  <c r="Y77" s="1"/>
  <c r="W76"/>
  <c r="X76"/>
  <c r="W81"/>
  <c r="B45"/>
  <c r="J51" i="7"/>
  <c r="B30" i="4"/>
  <c r="J39" i="7"/>
  <c r="J27"/>
  <c r="J15"/>
  <c r="J27" i="4"/>
  <c r="G21"/>
  <c r="R25"/>
  <c r="U25"/>
  <c r="Q78"/>
  <c r="C23" s="1"/>
  <c r="AF39" i="5" l="1"/>
  <c r="T42"/>
  <c r="C33" s="1"/>
  <c r="C34" s="1"/>
  <c r="W77" i="4"/>
  <c r="X77"/>
  <c r="C18" i="11"/>
  <c r="B12"/>
  <c r="W83" i="4"/>
  <c r="X83" s="1"/>
  <c r="AH35" i="5"/>
  <c r="AF35"/>
  <c r="AF40" s="1"/>
  <c r="AG35"/>
  <c r="AH37"/>
  <c r="AH36"/>
  <c r="AH38"/>
  <c r="AG37"/>
  <c r="AG38"/>
  <c r="AG36"/>
  <c r="U32" i="4"/>
  <c r="U31"/>
  <c r="V29"/>
  <c r="V35"/>
  <c r="V32"/>
  <c r="U29"/>
  <c r="T29"/>
  <c r="U28"/>
  <c r="T27"/>
  <c r="V30"/>
  <c r="T35"/>
  <c r="T31"/>
  <c r="U27"/>
  <c r="U30"/>
  <c r="V25"/>
  <c r="V27"/>
  <c r="T28"/>
  <c r="V33"/>
  <c r="U33"/>
  <c r="T32"/>
  <c r="V31"/>
  <c r="V28"/>
  <c r="U35"/>
  <c r="T30"/>
  <c r="T33"/>
  <c r="AG25"/>
  <c r="I27"/>
  <c r="I28" s="1"/>
  <c r="I31"/>
  <c r="I51" i="7"/>
  <c r="J55"/>
  <c r="K55" s="1"/>
  <c r="W55"/>
  <c r="N11" i="11"/>
  <c r="P13"/>
  <c r="N12"/>
  <c r="P15"/>
  <c r="N14"/>
  <c r="O18"/>
  <c r="N13"/>
  <c r="O10"/>
  <c r="P11"/>
  <c r="P18"/>
  <c r="O9"/>
  <c r="O12"/>
  <c r="P9"/>
  <c r="P10"/>
  <c r="N9"/>
  <c r="N10"/>
  <c r="N19"/>
  <c r="P12"/>
  <c r="O15"/>
  <c r="O11"/>
  <c r="P14"/>
  <c r="O13"/>
  <c r="O14"/>
  <c r="N18"/>
  <c r="N17"/>
  <c r="N15"/>
  <c r="O19"/>
  <c r="P7"/>
  <c r="O17"/>
  <c r="P17"/>
  <c r="P19"/>
  <c r="W78" i="4"/>
  <c r="G23" s="1"/>
  <c r="S31"/>
  <c r="S25"/>
  <c r="R33"/>
  <c r="S28"/>
  <c r="Q30"/>
  <c r="S30"/>
  <c r="R29"/>
  <c r="R28"/>
  <c r="S32"/>
  <c r="Q33"/>
  <c r="R35"/>
  <c r="R27"/>
  <c r="R32"/>
  <c r="R30"/>
  <c r="Q35"/>
  <c r="Q29"/>
  <c r="Q28"/>
  <c r="Q27"/>
  <c r="S27"/>
  <c r="Q31"/>
  <c r="S29"/>
  <c r="Q32"/>
  <c r="S33"/>
  <c r="S35"/>
  <c r="R31"/>
  <c r="J19" i="7"/>
  <c r="K19" s="1"/>
  <c r="I15"/>
  <c r="N55"/>
  <c r="I27"/>
  <c r="J31"/>
  <c r="K31" s="1"/>
  <c r="Q55"/>
  <c r="J43"/>
  <c r="K43" s="1"/>
  <c r="I39"/>
  <c r="T55"/>
  <c r="E21" i="11"/>
  <c r="J32"/>
  <c r="J21"/>
  <c r="R78" i="4"/>
  <c r="O20" i="11" l="1"/>
  <c r="P20"/>
  <c r="X78" i="4"/>
  <c r="N20" i="11"/>
  <c r="N16"/>
  <c r="P16"/>
  <c r="P21" s="1"/>
  <c r="O16"/>
  <c r="O21" s="1"/>
  <c r="AG39" i="5"/>
  <c r="AG40" s="1"/>
  <c r="AH39"/>
  <c r="AH40" s="1"/>
  <c r="T34" i="4"/>
  <c r="V34"/>
  <c r="T65" i="7"/>
  <c r="U59"/>
  <c r="U55"/>
  <c r="S72" s="1"/>
  <c r="T63"/>
  <c r="T59"/>
  <c r="S63"/>
  <c r="T60"/>
  <c r="T61"/>
  <c r="U62"/>
  <c r="S65"/>
  <c r="S61"/>
  <c r="S62"/>
  <c r="T58"/>
  <c r="U63"/>
  <c r="U60"/>
  <c r="U57"/>
  <c r="U64" s="1"/>
  <c r="U65"/>
  <c r="S59"/>
  <c r="S57"/>
  <c r="S64" s="1"/>
  <c r="T57"/>
  <c r="T64" s="1"/>
  <c r="U61"/>
  <c r="T62"/>
  <c r="S60"/>
  <c r="S58"/>
  <c r="U58"/>
  <c r="M60"/>
  <c r="N63"/>
  <c r="M58"/>
  <c r="M63"/>
  <c r="M62"/>
  <c r="N65"/>
  <c r="O60"/>
  <c r="O57"/>
  <c r="O64" s="1"/>
  <c r="O63"/>
  <c r="N58"/>
  <c r="N59"/>
  <c r="O55"/>
  <c r="M72" s="1"/>
  <c r="M65"/>
  <c r="O61"/>
  <c r="M61"/>
  <c r="O59"/>
  <c r="M59"/>
  <c r="O62"/>
  <c r="O58"/>
  <c r="N60"/>
  <c r="M57"/>
  <c r="M64" s="1"/>
  <c r="N62"/>
  <c r="N61"/>
  <c r="O65"/>
  <c r="N57"/>
  <c r="N64" s="1"/>
  <c r="S36" i="4"/>
  <c r="S37"/>
  <c r="S38"/>
  <c r="V65" i="7"/>
  <c r="W57"/>
  <c r="W64" s="1"/>
  <c r="V58"/>
  <c r="X65"/>
  <c r="X60"/>
  <c r="V59"/>
  <c r="X58"/>
  <c r="W65"/>
  <c r="X57"/>
  <c r="X64" s="1"/>
  <c r="V61"/>
  <c r="V60"/>
  <c r="W61"/>
  <c r="V63"/>
  <c r="V57"/>
  <c r="V64" s="1"/>
  <c r="W62"/>
  <c r="W59"/>
  <c r="W60"/>
  <c r="X63"/>
  <c r="X59"/>
  <c r="X62"/>
  <c r="W63"/>
  <c r="X61"/>
  <c r="X55"/>
  <c r="V72" s="1"/>
  <c r="W58"/>
  <c r="V62"/>
  <c r="I52"/>
  <c r="K51"/>
  <c r="AG27" i="4"/>
  <c r="AF32"/>
  <c r="AF27"/>
  <c r="AH31"/>
  <c r="AH35"/>
  <c r="AG28"/>
  <c r="AF29"/>
  <c r="AF35"/>
  <c r="AF30"/>
  <c r="AG29"/>
  <c r="AH33"/>
  <c r="AH30"/>
  <c r="AG30"/>
  <c r="AH27"/>
  <c r="AG33"/>
  <c r="AH28"/>
  <c r="AG35"/>
  <c r="AH25"/>
  <c r="AG31"/>
  <c r="AH32"/>
  <c r="AF28"/>
  <c r="AG32"/>
  <c r="AH29"/>
  <c r="AF31"/>
  <c r="AF33"/>
  <c r="U38"/>
  <c r="U37"/>
  <c r="U36"/>
  <c r="V38"/>
  <c r="V36"/>
  <c r="V37"/>
  <c r="Q34"/>
  <c r="R34"/>
  <c r="I40" i="7"/>
  <c r="K39"/>
  <c r="P61"/>
  <c r="R55"/>
  <c r="P72" s="1"/>
  <c r="P57"/>
  <c r="P64" s="1"/>
  <c r="R63"/>
  <c r="P60"/>
  <c r="R57"/>
  <c r="R64" s="1"/>
  <c r="P63"/>
  <c r="Q57"/>
  <c r="Q64" s="1"/>
  <c r="P62"/>
  <c r="Q65"/>
  <c r="P59"/>
  <c r="R59"/>
  <c r="R60"/>
  <c r="Q60"/>
  <c r="Q62"/>
  <c r="P58"/>
  <c r="Q59"/>
  <c r="Q61"/>
  <c r="Q58"/>
  <c r="P65"/>
  <c r="R62"/>
  <c r="R58"/>
  <c r="Q63"/>
  <c r="R61"/>
  <c r="R65"/>
  <c r="I28"/>
  <c r="K27"/>
  <c r="I16"/>
  <c r="K15"/>
  <c r="Q38" i="4"/>
  <c r="Q36"/>
  <c r="Q37"/>
  <c r="R36"/>
  <c r="R38"/>
  <c r="R37"/>
  <c r="T38"/>
  <c r="T36"/>
  <c r="T37"/>
  <c r="S34"/>
  <c r="I32"/>
  <c r="J31" s="1"/>
  <c r="U34"/>
  <c r="AF42" i="5" l="1"/>
  <c r="J21" s="1"/>
  <c r="N21" i="11"/>
  <c r="N23" s="1"/>
  <c r="C19" s="1"/>
  <c r="AH34" i="4"/>
  <c r="V39"/>
  <c r="V40" s="1"/>
  <c r="U39"/>
  <c r="U40" s="1"/>
  <c r="AG34"/>
  <c r="P66" i="7"/>
  <c r="P69" s="1"/>
  <c r="P70" s="1"/>
  <c r="P68"/>
  <c r="P67"/>
  <c r="AG37" i="4"/>
  <c r="AG38"/>
  <c r="AG36"/>
  <c r="AF38"/>
  <c r="AF36"/>
  <c r="AF37"/>
  <c r="W68" i="7"/>
  <c r="W66"/>
  <c r="W69" s="1"/>
  <c r="W70" s="1"/>
  <c r="W67"/>
  <c r="X67"/>
  <c r="X66"/>
  <c r="X69" s="1"/>
  <c r="X70" s="1"/>
  <c r="X68"/>
  <c r="O66"/>
  <c r="O69" s="1"/>
  <c r="O70" s="1"/>
  <c r="O67"/>
  <c r="O68"/>
  <c r="N66"/>
  <c r="N69" s="1"/>
  <c r="N70" s="1"/>
  <c r="N68"/>
  <c r="N67"/>
  <c r="U66"/>
  <c r="U69" s="1"/>
  <c r="U70" s="1"/>
  <c r="U68"/>
  <c r="U67"/>
  <c r="T66"/>
  <c r="T69" s="1"/>
  <c r="T70" s="1"/>
  <c r="T68"/>
  <c r="T67"/>
  <c r="S39" i="4"/>
  <c r="S40" s="1"/>
  <c r="R66" i="7"/>
  <c r="R69" s="1"/>
  <c r="R70" s="1"/>
  <c r="R68"/>
  <c r="R67"/>
  <c r="Q67"/>
  <c r="Q68"/>
  <c r="Q66"/>
  <c r="Q69" s="1"/>
  <c r="Q70" s="1"/>
  <c r="AH36" i="4"/>
  <c r="AH37"/>
  <c r="AH38"/>
  <c r="V66" i="7"/>
  <c r="V69" s="1"/>
  <c r="V70" s="1"/>
  <c r="V68"/>
  <c r="V67"/>
  <c r="M66"/>
  <c r="M69" s="1"/>
  <c r="M70" s="1"/>
  <c r="M67"/>
  <c r="M68"/>
  <c r="S68"/>
  <c r="S66"/>
  <c r="S69" s="1"/>
  <c r="S70" s="1"/>
  <c r="S67"/>
  <c r="T39" i="4"/>
  <c r="T40" s="1"/>
  <c r="R39"/>
  <c r="R40" s="1"/>
  <c r="Q39"/>
  <c r="Q40" s="1"/>
  <c r="AF34"/>
  <c r="I26" i="5" l="1"/>
  <c r="K24" s="1"/>
  <c r="K22"/>
  <c r="K26"/>
  <c r="I22"/>
  <c r="J31" i="11"/>
  <c r="J33" s="1"/>
  <c r="C21"/>
  <c r="C17"/>
  <c r="J27"/>
  <c r="J28" s="1"/>
  <c r="J19"/>
  <c r="J22" s="1"/>
  <c r="Q42" i="4"/>
  <c r="B40" s="1"/>
  <c r="B41" s="1"/>
  <c r="T42"/>
  <c r="C40" s="1"/>
  <c r="C41" s="1"/>
  <c r="AH39"/>
  <c r="AH40" s="1"/>
  <c r="AF39"/>
  <c r="AF40" s="1"/>
  <c r="AG39"/>
  <c r="AG40" s="1"/>
  <c r="D13" i="11" l="1"/>
  <c r="I14"/>
  <c r="I9"/>
  <c r="I6" i="5"/>
  <c r="B29"/>
  <c r="A29" s="1"/>
  <c r="K20"/>
  <c r="Z26"/>
  <c r="I10" i="11"/>
  <c r="B24"/>
  <c r="C24" s="1"/>
  <c r="I11"/>
  <c r="AF42" i="4"/>
  <c r="J28" s="1"/>
  <c r="W26" i="5" l="1"/>
  <c r="E34"/>
  <c r="Z51"/>
  <c r="J10"/>
  <c r="AA34"/>
  <c r="AB34"/>
  <c r="Z31"/>
  <c r="AA28"/>
  <c r="AB30"/>
  <c r="Z29"/>
  <c r="AA33"/>
  <c r="Z27"/>
  <c r="Z36"/>
  <c r="Z34"/>
  <c r="Z33"/>
  <c r="Z37"/>
  <c r="AA29"/>
  <c r="AA26"/>
  <c r="AA32"/>
  <c r="AB33"/>
  <c r="AB31"/>
  <c r="AA30"/>
  <c r="AB32"/>
  <c r="Z38"/>
  <c r="AB26"/>
  <c r="Z28"/>
  <c r="Z32"/>
  <c r="AA31"/>
  <c r="AB29"/>
  <c r="Z30"/>
  <c r="AB28"/>
  <c r="I12" i="11"/>
  <c r="B26" s="1"/>
  <c r="I21" i="4"/>
  <c r="K29"/>
  <c r="I29"/>
  <c r="K33"/>
  <c r="I33"/>
  <c r="Z35" i="5" l="1"/>
  <c r="AB35"/>
  <c r="AA35"/>
  <c r="AA36"/>
  <c r="AA38"/>
  <c r="AA37"/>
  <c r="Z52"/>
  <c r="Z57"/>
  <c r="Z61"/>
  <c r="Z54"/>
  <c r="Z63"/>
  <c r="Z53"/>
  <c r="Z56"/>
  <c r="Z58"/>
  <c r="Z55"/>
  <c r="AA51"/>
  <c r="AB51"/>
  <c r="Z62"/>
  <c r="Z59"/>
  <c r="W36"/>
  <c r="W27"/>
  <c r="W31"/>
  <c r="Y26"/>
  <c r="W32"/>
  <c r="W38"/>
  <c r="W33"/>
  <c r="W30"/>
  <c r="X26"/>
  <c r="W28"/>
  <c r="W37"/>
  <c r="W29"/>
  <c r="W34"/>
  <c r="Z39"/>
  <c r="Z40" s="1"/>
  <c r="AB36"/>
  <c r="AB38"/>
  <c r="AB37"/>
  <c r="K31" i="4"/>
  <c r="AD25"/>
  <c r="AA25"/>
  <c r="J2"/>
  <c r="X25" s="1"/>
  <c r="K27"/>
  <c r="B31" s="1"/>
  <c r="B36"/>
  <c r="A36" s="1"/>
  <c r="Y29" i="5" l="1"/>
  <c r="Y38"/>
  <c r="Y30"/>
  <c r="Y31"/>
  <c r="Y36"/>
  <c r="Y28"/>
  <c r="Y37"/>
  <c r="Y33"/>
  <c r="Y34"/>
  <c r="Y32"/>
  <c r="AB57"/>
  <c r="AB55"/>
  <c r="AB58"/>
  <c r="AB59"/>
  <c r="AB63"/>
  <c r="AB56"/>
  <c r="AB53"/>
  <c r="AB62"/>
  <c r="AB61"/>
  <c r="AB64" s="1"/>
  <c r="AB54"/>
  <c r="AB39"/>
  <c r="AB40" s="1"/>
  <c r="Z42" s="1"/>
  <c r="J22" s="1"/>
  <c r="W35"/>
  <c r="Z64"/>
  <c r="AA39"/>
  <c r="AA40" s="1"/>
  <c r="X32"/>
  <c r="X30"/>
  <c r="X28"/>
  <c r="X31"/>
  <c r="X38"/>
  <c r="X37"/>
  <c r="X33"/>
  <c r="X36"/>
  <c r="X34"/>
  <c r="X29"/>
  <c r="AA59"/>
  <c r="AA57"/>
  <c r="AA54"/>
  <c r="AA63"/>
  <c r="AA55"/>
  <c r="AA62"/>
  <c r="AA58"/>
  <c r="AA56"/>
  <c r="AA61"/>
  <c r="AA64" s="1"/>
  <c r="AA53"/>
  <c r="W39"/>
  <c r="Z60"/>
  <c r="AE33" i="4"/>
  <c r="AE31"/>
  <c r="AE30"/>
  <c r="AE35"/>
  <c r="AC29"/>
  <c r="AD28"/>
  <c r="AD27"/>
  <c r="AE29"/>
  <c r="AC30"/>
  <c r="AE25"/>
  <c r="AC28"/>
  <c r="AC27"/>
  <c r="AE27"/>
  <c r="AD33"/>
  <c r="AD30"/>
  <c r="AC35"/>
  <c r="AD32"/>
  <c r="AD29"/>
  <c r="AD31"/>
  <c r="AE32"/>
  <c r="AC32"/>
  <c r="AD35"/>
  <c r="AE28"/>
  <c r="AC31"/>
  <c r="AC33"/>
  <c r="B32"/>
  <c r="AA27"/>
  <c r="AB28"/>
  <c r="Z35"/>
  <c r="Z33"/>
  <c r="AB30"/>
  <c r="AA30"/>
  <c r="AB31"/>
  <c r="AA33"/>
  <c r="AA35"/>
  <c r="Z32"/>
  <c r="Z29"/>
  <c r="AB29"/>
  <c r="AB35"/>
  <c r="AB32"/>
  <c r="Z27"/>
  <c r="Z30"/>
  <c r="Z31"/>
  <c r="AA28"/>
  <c r="AB33"/>
  <c r="AB25"/>
  <c r="AA29"/>
  <c r="Z28"/>
  <c r="AA32"/>
  <c r="AB27"/>
  <c r="AA31"/>
  <c r="J50"/>
  <c r="E41"/>
  <c r="C24" i="5" l="1"/>
  <c r="C25" s="1"/>
  <c r="C23"/>
  <c r="D23" s="1"/>
  <c r="X39"/>
  <c r="AB60"/>
  <c r="AB65" s="1"/>
  <c r="Z65"/>
  <c r="Z67" s="1"/>
  <c r="D24"/>
  <c r="D25" s="1"/>
  <c r="Y39"/>
  <c r="AA60"/>
  <c r="AA65" s="1"/>
  <c r="X35"/>
  <c r="W40"/>
  <c r="W42" s="1"/>
  <c r="E23" s="1"/>
  <c r="Y35"/>
  <c r="Y40" s="1"/>
  <c r="AD34" i="4"/>
  <c r="AD38"/>
  <c r="AD37"/>
  <c r="AD36"/>
  <c r="AC37"/>
  <c r="AC38"/>
  <c r="AC36"/>
  <c r="AA34"/>
  <c r="AC34"/>
  <c r="AE36"/>
  <c r="AE37"/>
  <c r="AE38"/>
  <c r="AE34"/>
  <c r="Z34"/>
  <c r="AB34"/>
  <c r="AB37"/>
  <c r="AB36"/>
  <c r="AB38"/>
  <c r="AA36"/>
  <c r="AA37"/>
  <c r="AA38"/>
  <c r="Z36"/>
  <c r="Z37"/>
  <c r="Z38"/>
  <c r="W29"/>
  <c r="X30"/>
  <c r="Y27"/>
  <c r="W35"/>
  <c r="X27"/>
  <c r="Y31"/>
  <c r="Y28"/>
  <c r="X29"/>
  <c r="Y29"/>
  <c r="Y32"/>
  <c r="W32"/>
  <c r="Y30"/>
  <c r="Y33"/>
  <c r="W30"/>
  <c r="W31"/>
  <c r="X32"/>
  <c r="W33"/>
  <c r="Y35"/>
  <c r="Y25"/>
  <c r="X31"/>
  <c r="W27"/>
  <c r="X33"/>
  <c r="X28"/>
  <c r="X35"/>
  <c r="W28"/>
  <c r="X40" i="5" l="1"/>
  <c r="AA69"/>
  <c r="AB71" s="1"/>
  <c r="F21"/>
  <c r="Z75"/>
  <c r="Z73"/>
  <c r="Z80"/>
  <c r="AB74"/>
  <c r="AA75"/>
  <c r="AB73"/>
  <c r="AB72"/>
  <c r="Z79"/>
  <c r="AA74"/>
  <c r="AA73"/>
  <c r="Z72"/>
  <c r="AB69"/>
  <c r="Z84" s="1"/>
  <c r="AB75"/>
  <c r="AA72"/>
  <c r="Z74"/>
  <c r="AA71"/>
  <c r="Z71"/>
  <c r="Z76" s="1"/>
  <c r="Z81"/>
  <c r="AB39" i="4"/>
  <c r="AB40" s="1"/>
  <c r="AC39"/>
  <c r="Y34"/>
  <c r="AE39"/>
  <c r="AE40" s="1"/>
  <c r="AD39"/>
  <c r="AD40" s="1"/>
  <c r="AC40"/>
  <c r="W34"/>
  <c r="X34"/>
  <c r="Z39"/>
  <c r="Z40" s="1"/>
  <c r="X38"/>
  <c r="X37"/>
  <c r="X36"/>
  <c r="Y38"/>
  <c r="Y37"/>
  <c r="Y36"/>
  <c r="W36"/>
  <c r="W38"/>
  <c r="W37"/>
  <c r="AA39"/>
  <c r="AA40" s="1"/>
  <c r="Z42" s="1"/>
  <c r="AB76" i="5" l="1"/>
  <c r="Z77"/>
  <c r="AA84"/>
  <c r="AA76"/>
  <c r="Z82"/>
  <c r="AA82" s="1"/>
  <c r="AC42" i="4"/>
  <c r="X39"/>
  <c r="X40" s="1"/>
  <c r="J29"/>
  <c r="C31" s="1"/>
  <c r="C30"/>
  <c r="D30" s="1"/>
  <c r="W39"/>
  <c r="W40" s="1"/>
  <c r="Y39"/>
  <c r="Y40" s="1"/>
  <c r="AA77" i="5" l="1"/>
  <c r="W42" i="4"/>
  <c r="E30" s="1"/>
  <c r="C32"/>
  <c r="D31"/>
  <c r="D32" s="1"/>
  <c r="AA50" l="1"/>
  <c r="Z56" s="1"/>
  <c r="E32"/>
  <c r="Z55" l="1"/>
  <c r="AB56"/>
  <c r="AB60"/>
  <c r="AB61" s="1"/>
  <c r="Z58"/>
  <c r="AA52"/>
  <c r="AB54"/>
  <c r="AA58"/>
  <c r="AA55"/>
  <c r="Z57"/>
  <c r="AB58"/>
  <c r="AB53"/>
  <c r="Z54"/>
  <c r="AA60"/>
  <c r="AA61" s="1"/>
  <c r="AB52"/>
  <c r="Z52"/>
  <c r="AB57"/>
  <c r="AA54"/>
  <c r="AA56"/>
  <c r="Z60"/>
  <c r="Z62" s="1"/>
  <c r="Z53"/>
  <c r="AB50"/>
  <c r="AA57"/>
  <c r="AA53"/>
  <c r="AB55"/>
  <c r="AB63" l="1"/>
  <c r="AB62"/>
  <c r="AA63"/>
  <c r="AB59"/>
  <c r="AA62"/>
  <c r="AA64" s="1"/>
  <c r="Z59"/>
  <c r="AA59"/>
  <c r="Z61"/>
  <c r="Z63"/>
  <c r="AB64" l="1"/>
  <c r="AB65" s="1"/>
  <c r="AA65"/>
  <c r="Z64"/>
  <c r="Z65" s="1"/>
  <c r="Z67" l="1"/>
  <c r="F28" s="1"/>
  <c r="L43" l="1"/>
  <c r="L78" s="1"/>
  <c r="AD50" l="1"/>
  <c r="AD53" s="1"/>
  <c r="G29"/>
  <c r="F30"/>
  <c r="F31"/>
  <c r="F32" s="1"/>
  <c r="E34"/>
  <c r="AA70" l="1"/>
  <c r="Z82" s="1"/>
  <c r="AC53"/>
  <c r="AE50"/>
  <c r="AD52"/>
  <c r="AC54"/>
  <c r="AC60"/>
  <c r="AC62" s="1"/>
  <c r="AD54"/>
  <c r="AE55"/>
  <c r="AE56"/>
  <c r="AC56"/>
  <c r="AE54"/>
  <c r="AE57"/>
  <c r="AD55"/>
  <c r="AD60"/>
  <c r="AD62" s="1"/>
  <c r="AE52"/>
  <c r="AE53"/>
  <c r="AD58"/>
  <c r="AC57"/>
  <c r="AE58"/>
  <c r="AC55"/>
  <c r="AD57"/>
  <c r="AE60"/>
  <c r="AE63" s="1"/>
  <c r="AD56"/>
  <c r="AC52"/>
  <c r="AC58"/>
  <c r="AA75" l="1"/>
  <c r="AB73"/>
  <c r="Z76"/>
  <c r="AB70"/>
  <c r="Z74"/>
  <c r="Z75"/>
  <c r="AB75"/>
  <c r="AA74"/>
  <c r="AB74"/>
  <c r="Z72"/>
  <c r="AA72"/>
  <c r="AB72"/>
  <c r="Z81"/>
  <c r="Z80"/>
  <c r="AB76"/>
  <c r="AA76"/>
  <c r="Z73"/>
  <c r="AA73"/>
  <c r="AD59"/>
  <c r="AD63"/>
  <c r="AC61"/>
  <c r="AC63"/>
  <c r="AE59"/>
  <c r="AC59"/>
  <c r="AD61"/>
  <c r="AE61"/>
  <c r="AE62"/>
  <c r="Z85"/>
  <c r="AA77" l="1"/>
  <c r="Z83"/>
  <c r="AA83" s="1"/>
  <c r="AB77"/>
  <c r="Z77"/>
  <c r="Z78" s="1"/>
  <c r="AA78" s="1"/>
  <c r="AD64"/>
  <c r="AD65" s="1"/>
  <c r="AC64"/>
  <c r="AC65" s="1"/>
  <c r="AE64"/>
  <c r="AE65" s="1"/>
  <c r="AA85"/>
  <c r="F35" l="1"/>
  <c r="AC67"/>
  <c r="G28" s="1"/>
  <c r="G30" s="1"/>
  <c r="L90" s="1"/>
  <c r="F25" s="1"/>
  <c r="D10" i="10" l="1"/>
  <c r="F10" s="1"/>
  <c r="AD70" i="4"/>
  <c r="AC81" s="1"/>
  <c r="G31"/>
  <c r="G32" s="1"/>
  <c r="R10" i="10" l="1"/>
  <c r="R21" s="1"/>
  <c r="AE76" i="4"/>
  <c r="Q12" i="10"/>
  <c r="AC74" i="4"/>
  <c r="R20" i="10"/>
  <c r="AD73" i="4"/>
  <c r="R13" i="10"/>
  <c r="AD75" i="4"/>
  <c r="AE74"/>
  <c r="AC73"/>
  <c r="AE73"/>
  <c r="AD74"/>
  <c r="AD72"/>
  <c r="AE70"/>
  <c r="AC85" s="1"/>
  <c r="AD85" s="1"/>
  <c r="AC76"/>
  <c r="AC72"/>
  <c r="AD76"/>
  <c r="AC82"/>
  <c r="AE72"/>
  <c r="AC75"/>
  <c r="AC80"/>
  <c r="AE75"/>
  <c r="AG50"/>
  <c r="D36"/>
  <c r="R18" i="10" l="1"/>
  <c r="S18"/>
  <c r="S10"/>
  <c r="Q20"/>
  <c r="Q14"/>
  <c r="R17"/>
  <c r="Q17"/>
  <c r="Q18"/>
  <c r="S16"/>
  <c r="S17"/>
  <c r="R22"/>
  <c r="R23" s="1"/>
  <c r="Q13"/>
  <c r="Q22"/>
  <c r="R12"/>
  <c r="S12"/>
  <c r="R15"/>
  <c r="R14"/>
  <c r="S20"/>
  <c r="S21"/>
  <c r="S13"/>
  <c r="S15"/>
  <c r="Q15"/>
  <c r="S14"/>
  <c r="R16"/>
  <c r="Q16"/>
  <c r="Q21"/>
  <c r="S22"/>
  <c r="S23" s="1"/>
  <c r="AC77" i="4"/>
  <c r="AC78" s="1"/>
  <c r="AH56"/>
  <c r="AH52"/>
  <c r="AF58"/>
  <c r="AF52"/>
  <c r="AF55"/>
  <c r="AH50"/>
  <c r="AF54"/>
  <c r="AF57"/>
  <c r="AH60"/>
  <c r="AH55"/>
  <c r="AH54"/>
  <c r="AG57"/>
  <c r="AG54"/>
  <c r="AG58"/>
  <c r="AF56"/>
  <c r="AG60"/>
  <c r="AF60"/>
  <c r="AH53"/>
  <c r="AG53"/>
  <c r="AG55"/>
  <c r="AH57"/>
  <c r="AG52"/>
  <c r="AF53"/>
  <c r="AH58"/>
  <c r="AG56"/>
  <c r="AC83"/>
  <c r="AE77"/>
  <c r="AD77"/>
  <c r="Q23" i="10" l="1"/>
  <c r="R19"/>
  <c r="Q19"/>
  <c r="S19"/>
  <c r="S24" s="1"/>
  <c r="Q24"/>
  <c r="R24"/>
  <c r="AG59" i="4"/>
  <c r="AF59"/>
  <c r="AH59"/>
  <c r="AF62"/>
  <c r="AF61"/>
  <c r="AF63"/>
  <c r="AH63"/>
  <c r="AH61"/>
  <c r="AH62"/>
  <c r="AD83"/>
  <c r="G35" s="1"/>
  <c r="AD78"/>
  <c r="AG61"/>
  <c r="AG62"/>
  <c r="AG63"/>
  <c r="Q26" i="10" l="1"/>
  <c r="R26" s="1"/>
  <c r="D13" s="1"/>
  <c r="O10" s="1"/>
  <c r="N16" s="1"/>
  <c r="AH64" i="4"/>
  <c r="AH65" s="1"/>
  <c r="AF64"/>
  <c r="AF65" s="1"/>
  <c r="AG64"/>
  <c r="AG65" s="1"/>
  <c r="AF67" l="1"/>
  <c r="G36" s="1"/>
  <c r="P12" i="10"/>
  <c r="P22"/>
  <c r="P16"/>
  <c r="O18"/>
  <c r="P20"/>
  <c r="O16"/>
  <c r="F13"/>
  <c r="N18"/>
  <c r="O12"/>
  <c r="O21"/>
  <c r="P21"/>
  <c r="N20"/>
  <c r="N15"/>
  <c r="N21"/>
  <c r="P13"/>
  <c r="O20"/>
  <c r="O17"/>
  <c r="N13"/>
  <c r="P18"/>
  <c r="O14"/>
  <c r="O13"/>
  <c r="P14"/>
  <c r="N22"/>
  <c r="P17"/>
  <c r="O15"/>
  <c r="N14"/>
  <c r="O22"/>
  <c r="P10"/>
  <c r="N12"/>
  <c r="N17"/>
  <c r="P15"/>
  <c r="O23" l="1"/>
  <c r="P23"/>
  <c r="O19"/>
  <c r="N19"/>
  <c r="P19"/>
  <c r="N23"/>
  <c r="O24"/>
  <c r="P24" l="1"/>
  <c r="N24"/>
  <c r="N26" l="1"/>
  <c r="O26" s="1"/>
  <c r="D12" s="1"/>
  <c r="F12" s="1"/>
  <c r="L10" l="1"/>
  <c r="M21" s="1"/>
  <c r="K20"/>
  <c r="M16"/>
  <c r="K13"/>
  <c r="M12"/>
  <c r="L12"/>
  <c r="M22"/>
  <c r="L20"/>
  <c r="L23" s="1"/>
  <c r="K16"/>
  <c r="L21"/>
  <c r="K12"/>
  <c r="K15"/>
  <c r="M10"/>
  <c r="L22"/>
  <c r="L15"/>
  <c r="K17"/>
  <c r="M17"/>
  <c r="L17"/>
  <c r="L18"/>
  <c r="K18"/>
  <c r="L16"/>
  <c r="K22"/>
  <c r="L13"/>
  <c r="K14"/>
  <c r="M20"/>
  <c r="M23" s="1"/>
  <c r="M13"/>
  <c r="K21" l="1"/>
  <c r="M15"/>
  <c r="L14"/>
  <c r="M14"/>
  <c r="M18"/>
  <c r="M19"/>
  <c r="L19"/>
  <c r="L24" s="1"/>
  <c r="K19"/>
  <c r="K23"/>
  <c r="M24"/>
  <c r="K24" l="1"/>
  <c r="K26" s="1"/>
  <c r="L26" s="1"/>
  <c r="D11" s="1"/>
  <c r="F11" s="1"/>
  <c r="I33" i="5" l="1"/>
  <c r="I4" s="1"/>
  <c r="E27" s="1"/>
  <c r="F23" l="1"/>
  <c r="F24"/>
  <c r="F25" s="1"/>
  <c r="F28" l="1"/>
  <c r="AC51"/>
  <c r="D19" i="10"/>
  <c r="AB10" s="1"/>
  <c r="AC10" s="1"/>
  <c r="AB17" l="1"/>
  <c r="AC20"/>
  <c r="AC12"/>
  <c r="AA16"/>
  <c r="AB20"/>
  <c r="AB13"/>
  <c r="AC16"/>
  <c r="AA20"/>
  <c r="AA12"/>
  <c r="AB12"/>
  <c r="AC13"/>
  <c r="AB21"/>
  <c r="AB15"/>
  <c r="AC22"/>
  <c r="AC18"/>
  <c r="AC14"/>
  <c r="AA22"/>
  <c r="AA18"/>
  <c r="AA14"/>
  <c r="AB22"/>
  <c r="AB16"/>
  <c r="AC17"/>
  <c r="AA13"/>
  <c r="AA17"/>
  <c r="AB18"/>
  <c r="AB14"/>
  <c r="AC21"/>
  <c r="AC15"/>
  <c r="AA21"/>
  <c r="AA23" s="1"/>
  <c r="AA15"/>
  <c r="F19"/>
  <c r="AC52" i="5"/>
  <c r="AE51"/>
  <c r="AC62"/>
  <c r="AC58"/>
  <c r="AC57"/>
  <c r="AC54"/>
  <c r="AC63"/>
  <c r="AC59"/>
  <c r="AC53"/>
  <c r="AD51"/>
  <c r="AC61"/>
  <c r="AC55"/>
  <c r="AC56"/>
  <c r="AC19" i="10" l="1"/>
  <c r="AA19"/>
  <c r="AC23"/>
  <c r="AB19"/>
  <c r="AB23"/>
  <c r="AA24"/>
  <c r="AC24"/>
  <c r="AD53" i="5"/>
  <c r="AD54"/>
  <c r="AD58"/>
  <c r="AD63"/>
  <c r="AD57"/>
  <c r="AD59"/>
  <c r="AD56"/>
  <c r="AD61"/>
  <c r="AD55"/>
  <c r="AD62"/>
  <c r="AE61"/>
  <c r="AE57"/>
  <c r="AE59"/>
  <c r="AE54"/>
  <c r="AE56"/>
  <c r="AE62"/>
  <c r="AE58"/>
  <c r="AE53"/>
  <c r="AE60" s="1"/>
  <c r="AE55"/>
  <c r="AE63"/>
  <c r="AC60"/>
  <c r="AC64"/>
  <c r="AC65" s="1"/>
  <c r="AB24" i="10" l="1"/>
  <c r="AA26" s="1"/>
  <c r="AB26" s="1"/>
  <c r="D22" s="1"/>
  <c r="AE64" i="5"/>
  <c r="AD64"/>
  <c r="AE65"/>
  <c r="AC67" s="1"/>
  <c r="AD60"/>
  <c r="AD65" s="1"/>
  <c r="F22" i="10" l="1"/>
  <c r="Y10"/>
  <c r="AD69" i="5"/>
  <c r="I34"/>
  <c r="G21"/>
  <c r="G23" s="1"/>
  <c r="X18" i="10"/>
  <c r="X14"/>
  <c r="Z17"/>
  <c r="Z13"/>
  <c r="Y22"/>
  <c r="Y18"/>
  <c r="Y14"/>
  <c r="X21"/>
  <c r="X15"/>
  <c r="G24" i="5" l="1"/>
  <c r="G25" s="1"/>
  <c r="J5"/>
  <c r="AC74"/>
  <c r="AE71"/>
  <c r="AE76" s="1"/>
  <c r="AC81"/>
  <c r="AD71"/>
  <c r="AE72"/>
  <c r="AC75"/>
  <c r="AD72"/>
  <c r="AE74"/>
  <c r="AD73"/>
  <c r="AC80"/>
  <c r="AD74"/>
  <c r="AE69"/>
  <c r="AC84" s="1"/>
  <c r="AC73"/>
  <c r="AD75"/>
  <c r="AD76" s="1"/>
  <c r="AC79"/>
  <c r="AC72"/>
  <c r="AE73"/>
  <c r="AC71"/>
  <c r="AE75"/>
  <c r="AC76"/>
  <c r="Z10" i="10"/>
  <c r="X13"/>
  <c r="Y12"/>
  <c r="Y20"/>
  <c r="Z15"/>
  <c r="X22"/>
  <c r="Y21"/>
  <c r="Z14"/>
  <c r="X17"/>
  <c r="Y16"/>
  <c r="Z21"/>
  <c r="X12"/>
  <c r="X20"/>
  <c r="Y13"/>
  <c r="Y17"/>
  <c r="Z20"/>
  <c r="Z12"/>
  <c r="Z19" s="1"/>
  <c r="Z16"/>
  <c r="X16"/>
  <c r="Y15"/>
  <c r="Z22"/>
  <c r="Z18"/>
  <c r="X23"/>
  <c r="AC82" i="5" l="1"/>
  <c r="AD82" s="1"/>
  <c r="Z23" i="10"/>
  <c r="Z24" s="1"/>
  <c r="X19"/>
  <c r="X24" s="1"/>
  <c r="X26" s="1"/>
  <c r="Y26" s="1"/>
  <c r="D21" s="1"/>
  <c r="V10" s="1"/>
  <c r="U22" s="1"/>
  <c r="Y23"/>
  <c r="AD84" i="5"/>
  <c r="F19"/>
  <c r="D29" s="1"/>
  <c r="AF51"/>
  <c r="Y19" i="10"/>
  <c r="Y24" s="1"/>
  <c r="AC77" i="5"/>
  <c r="AD77" s="1"/>
  <c r="F21" i="10"/>
  <c r="U20"/>
  <c r="U12"/>
  <c r="U14"/>
  <c r="U16"/>
  <c r="U18"/>
  <c r="W21"/>
  <c r="W13"/>
  <c r="W15"/>
  <c r="W17"/>
  <c r="W10"/>
  <c r="V13"/>
  <c r="V15"/>
  <c r="V17"/>
  <c r="V21"/>
  <c r="U21"/>
  <c r="U13"/>
  <c r="U15"/>
  <c r="U17"/>
  <c r="W20"/>
  <c r="W22"/>
  <c r="W12"/>
  <c r="W14"/>
  <c r="W16"/>
  <c r="W18"/>
  <c r="V12"/>
  <c r="V14"/>
  <c r="V16"/>
  <c r="V18"/>
  <c r="V20"/>
  <c r="V22"/>
  <c r="G28" i="5" l="1"/>
  <c r="AF56"/>
  <c r="AF63"/>
  <c r="AH51"/>
  <c r="AF52"/>
  <c r="AF59"/>
  <c r="AF62"/>
  <c r="AF61"/>
  <c r="AF55"/>
  <c r="AF58"/>
  <c r="AF57"/>
  <c r="AG51"/>
  <c r="AF54"/>
  <c r="AF53"/>
  <c r="U23" i="10"/>
  <c r="U19"/>
  <c r="V23"/>
  <c r="V19"/>
  <c r="W19"/>
  <c r="W23"/>
  <c r="AG61" i="5" l="1"/>
  <c r="AG55"/>
  <c r="AG57"/>
  <c r="AG62"/>
  <c r="AG56"/>
  <c r="AG53"/>
  <c r="AG58"/>
  <c r="AG63"/>
  <c r="AG54"/>
  <c r="AG59"/>
  <c r="AH63"/>
  <c r="AH61"/>
  <c r="AH64" s="1"/>
  <c r="AH59"/>
  <c r="AH57"/>
  <c r="AH62"/>
  <c r="AH55"/>
  <c r="AH53"/>
  <c r="AH58"/>
  <c r="AH56"/>
  <c r="AH54"/>
  <c r="AF60"/>
  <c r="AF64"/>
  <c r="U24" i="10"/>
  <c r="V24"/>
  <c r="W24"/>
  <c r="U26" l="1"/>
  <c r="V26" s="1"/>
  <c r="D20" s="1"/>
  <c r="F20" s="1"/>
  <c r="AF65" i="5"/>
  <c r="AH60"/>
  <c r="AH65" s="1"/>
  <c r="AG64"/>
  <c r="AG60"/>
  <c r="AG65" l="1"/>
  <c r="AF67" s="1"/>
  <c r="G29" s="1"/>
</calcChain>
</file>

<file path=xl/comments1.xml><?xml version="1.0" encoding="utf-8"?>
<comments xmlns="http://schemas.openxmlformats.org/spreadsheetml/2006/main">
  <authors>
    <author>Guy Boxho</author>
    <author xml:space="preserve"> Guy BOXHO</author>
    <author>Guy BOXHO</author>
    <author>M.R.W.</author>
  </authors>
  <commentList>
    <comment ref="J2" authorId="0">
      <text>
        <r>
          <rPr>
            <b/>
            <sz val="8"/>
            <color indexed="81"/>
            <rFont val="Tahoma"/>
            <family val="2"/>
          </rPr>
          <t>Neutralisation maximale (toutes les communes)</t>
        </r>
      </text>
    </comment>
    <comment ref="A20" authorId="0">
      <text>
        <r>
          <rPr>
            <b/>
            <sz val="9"/>
            <color indexed="9"/>
            <rFont val="Tahoma"/>
            <family val="2"/>
          </rPr>
          <t>Il s'agit des dates qui servent pour la suite de la procédure.</t>
        </r>
      </text>
    </comment>
    <comment ref="D27" authorId="0">
      <text>
        <r>
          <rPr>
            <b/>
            <sz val="9"/>
            <color indexed="81"/>
            <rFont val="Tahoma"/>
            <family val="2"/>
          </rPr>
          <t>Date d'envoi par le CBE</t>
        </r>
      </text>
    </comment>
    <comment ref="I27" authorId="1">
      <text>
        <r>
          <rPr>
            <b/>
            <sz val="8"/>
            <color indexed="16"/>
            <rFont val="Tahoma"/>
            <family val="2"/>
          </rPr>
          <t xml:space="preserve"> 1er jour de neutralisation pour l'année considérée</t>
        </r>
      </text>
    </comment>
    <comment ref="J27" authorId="1">
      <text>
        <r>
          <rPr>
            <b/>
            <sz val="8"/>
            <color indexed="16"/>
            <rFont val="Tahoma"/>
            <family val="2"/>
          </rPr>
          <t xml:space="preserve"> Date théorique de début d'enquête</t>
        </r>
      </text>
    </comment>
    <comment ref="I28" authorId="1">
      <text>
        <r>
          <rPr>
            <b/>
            <sz val="8"/>
            <color indexed="16"/>
            <rFont val="Tahoma"/>
            <family val="2"/>
          </rPr>
          <t xml:space="preserve"> Dernier jour de neutralisation pour l'année considérée</t>
        </r>
      </text>
    </comment>
    <comment ref="J28" authorId="1">
      <text>
        <r>
          <rPr>
            <b/>
            <sz val="8"/>
            <color indexed="16"/>
            <rFont val="Tahoma"/>
            <family val="2"/>
          </rPr>
          <t xml:space="preserve"> Date théorique de fin d'enquête</t>
        </r>
      </text>
    </comment>
    <comment ref="I29" authorId="1">
      <text>
        <r>
          <rPr>
            <b/>
            <sz val="8"/>
            <color indexed="16"/>
            <rFont val="Tahoma"/>
            <family val="2"/>
          </rPr>
          <t xml:space="preserve"> Durée de la neutralisation "été"</t>
        </r>
      </text>
    </comment>
    <comment ref="J29" authorId="1">
      <text>
        <r>
          <rPr>
            <b/>
            <sz val="8"/>
            <color indexed="16"/>
            <rFont val="Tahoma"/>
            <family val="2"/>
          </rPr>
          <t xml:space="preserve"> Date de fin d'enquête adaptée à la neutralisation</t>
        </r>
      </text>
    </comment>
    <comment ref="K29" authorId="0">
      <text>
        <r>
          <rPr>
            <b/>
            <sz val="8"/>
            <color indexed="47"/>
            <rFont val="Tahoma"/>
            <family val="2"/>
          </rPr>
          <t>Durée de la neutralisation pour les dates "théoriques" d'enquête</t>
        </r>
      </text>
    </comment>
    <comment ref="E30" authorId="2">
      <text>
        <r>
          <rPr>
            <b/>
            <sz val="8"/>
            <color indexed="15"/>
            <rFont val="Tahoma"/>
            <family val="2"/>
          </rPr>
          <t>Date ultime à laquelle l'envoi de l'avertissement de prolongation peut être fait</t>
        </r>
      </text>
    </comment>
    <comment ref="A31" authorId="0">
      <text>
        <r>
          <rPr>
            <b/>
            <sz val="9"/>
            <color indexed="9"/>
            <rFont val="Tahoma"/>
            <family val="2"/>
          </rPr>
          <t>Il s'agit des dates qui servent pour la suite de la procédure.</t>
        </r>
      </text>
    </comment>
    <comment ref="I31" authorId="1">
      <text>
        <r>
          <rPr>
            <b/>
            <sz val="8"/>
            <color indexed="16"/>
            <rFont val="Tahoma"/>
            <family val="2"/>
          </rPr>
          <t xml:space="preserve"> 1er jour de neutralisation pour l'année considérée</t>
        </r>
      </text>
    </comment>
    <comment ref="I32" authorId="1">
      <text>
        <r>
          <rPr>
            <b/>
            <sz val="8"/>
            <color indexed="16"/>
            <rFont val="Tahoma"/>
            <family val="2"/>
          </rPr>
          <t xml:space="preserve"> Dernier jour de neutralisation pour l'année considérée</t>
        </r>
      </text>
    </comment>
    <comment ref="E33" authorId="0">
      <text>
        <r>
          <rPr>
            <b/>
            <sz val="8"/>
            <color indexed="15"/>
            <rFont val="Verdana"/>
            <family val="2"/>
          </rPr>
          <t>Date effective de la notification de la prorogation.</t>
        </r>
      </text>
    </comment>
    <comment ref="I33" authorId="2">
      <text>
        <r>
          <rPr>
            <b/>
            <sz val="8"/>
            <color indexed="16"/>
            <rFont val="Tahoma"/>
            <family val="2"/>
          </rPr>
          <t>Durée de la neutralisation "hiver"</t>
        </r>
      </text>
    </comment>
    <comment ref="K33" authorId="0">
      <text>
        <r>
          <rPr>
            <b/>
            <sz val="8"/>
            <color indexed="47"/>
            <rFont val="Tahoma"/>
            <family val="2"/>
          </rPr>
          <t>Durée de la neutralisation pour les dates "théoriques" d'enquête</t>
        </r>
      </text>
    </comment>
    <comment ref="E39" authorId="0">
      <text>
        <r>
          <rPr>
            <b/>
            <sz val="9"/>
            <color indexed="81"/>
            <rFont val="Tahoma"/>
            <family val="2"/>
          </rPr>
          <t>Guy Boxho:</t>
        </r>
        <r>
          <rPr>
            <sz val="9"/>
            <color indexed="81"/>
            <rFont val="Tahoma"/>
            <family val="2"/>
          </rPr>
          <t xml:space="preserve">
Réception par la commune de la demande d'ouverture d'enquête</t>
        </r>
      </text>
    </comment>
    <comment ref="B40" authorId="0">
      <text>
        <r>
          <rPr>
            <b/>
            <sz val="9"/>
            <color indexed="26"/>
            <rFont val="Tahoma"/>
            <family val="2"/>
          </rPr>
          <t>Voir article 14 de l'arrêté procédure.</t>
        </r>
      </text>
    </comment>
    <comment ref="L40" authorId="0">
      <text>
        <r>
          <rPr>
            <b/>
            <sz val="9"/>
            <color indexed="81"/>
            <rFont val="Tahoma"/>
            <family val="2"/>
          </rPr>
          <t>Guy Boxho:</t>
        </r>
        <r>
          <rPr>
            <sz val="9"/>
            <color indexed="81"/>
            <rFont val="Tahoma"/>
            <family val="2"/>
          </rPr>
          <t xml:space="preserve">
Calcul intermédiaire pour application article 23 du décret</t>
        </r>
      </text>
    </comment>
    <comment ref="J50" authorId="0">
      <text>
        <r>
          <rPr>
            <sz val="9"/>
            <color indexed="81"/>
            <rFont val="Tahoma"/>
            <family val="2"/>
          </rPr>
          <t>Nombre de jours pour la réception des avis en tenant compte des neutralisations de l'enquête du 16/07 au 15/08 &amp; du 24/12 au 01/01</t>
        </r>
      </text>
    </comment>
    <comment ref="L71" authorId="2">
      <text>
        <r>
          <rPr>
            <b/>
            <sz val="8"/>
            <color indexed="13"/>
            <rFont val="Tahoma"/>
            <family val="2"/>
          </rPr>
          <t>Contrôle pour PE/PU</t>
        </r>
      </text>
    </comment>
    <comment ref="L72" authorId="0">
      <text>
        <r>
          <rPr>
            <b/>
            <sz val="8"/>
            <color indexed="13"/>
            <rFont val="Tahoma"/>
            <family val="2"/>
          </rPr>
          <t>Contrôle pour modification de voirie</t>
        </r>
      </text>
    </comment>
    <comment ref="L74" authorId="2">
      <text>
        <r>
          <rPr>
            <b/>
            <sz val="8"/>
            <color indexed="15"/>
            <rFont val="Tahoma"/>
            <family val="2"/>
          </rPr>
          <t>Contrôle pour EIE demandée en classe 2</t>
        </r>
      </text>
    </comment>
    <comment ref="L75" authorId="0">
      <text>
        <r>
          <rPr>
            <b/>
            <sz val="8"/>
            <color indexed="13"/>
            <rFont val="Tahoma"/>
            <family val="2"/>
          </rPr>
          <t>Contrôle pour classe</t>
        </r>
      </text>
    </comment>
    <comment ref="L76" authorId="2">
      <text>
        <r>
          <rPr>
            <b/>
            <sz val="8"/>
            <color indexed="13"/>
            <rFont val="Tahoma"/>
            <family val="2"/>
          </rPr>
          <t>Contrôle pour EIE sur classe 2</t>
        </r>
      </text>
    </comment>
    <comment ref="L77" authorId="0">
      <text>
        <r>
          <rPr>
            <b/>
            <sz val="8"/>
            <color indexed="13"/>
            <rFont val="Tahoma"/>
            <family val="2"/>
          </rPr>
          <t>Contrôle pour enquête sur plusieurs communes</t>
        </r>
      </text>
    </comment>
    <comment ref="L78" authorId="0">
      <text>
        <r>
          <rPr>
            <sz val="9"/>
            <color indexed="81"/>
            <rFont val="Tahoma"/>
            <family val="2"/>
          </rPr>
          <t>Envoi du rapport avant la date ultime.</t>
        </r>
      </text>
    </comment>
    <comment ref="L79" authorId="0">
      <text>
        <r>
          <rPr>
            <b/>
            <sz val="8"/>
            <color indexed="13"/>
            <rFont val="Tahoma"/>
            <family val="2"/>
          </rPr>
          <t>Contrôle autorité compétente</t>
        </r>
      </text>
    </comment>
    <comment ref="L81" authorId="0">
      <text>
        <r>
          <rPr>
            <b/>
            <sz val="8"/>
            <color indexed="13"/>
            <rFont val="Tahoma"/>
            <family val="2"/>
          </rPr>
          <t>Contrôle pour plans modificatifs</t>
        </r>
      </text>
    </comment>
    <comment ref="L82" authorId="0">
      <text>
        <r>
          <rPr>
            <b/>
            <sz val="9"/>
            <color indexed="13"/>
            <rFont val="Tahoma"/>
            <family val="2"/>
          </rPr>
          <t>Contrôle code NACE</t>
        </r>
      </text>
    </comment>
    <comment ref="B83" authorId="3">
      <text>
        <r>
          <rPr>
            <b/>
            <sz val="8"/>
            <color indexed="43"/>
            <rFont val="Tahoma"/>
            <family val="2"/>
          </rPr>
          <t>Permet d'afficher "Avis non reçu" le nombre de jours choisi avant la date d'échéance.</t>
        </r>
        <r>
          <rPr>
            <sz val="8"/>
            <color indexed="43"/>
            <rFont val="Tahoma"/>
            <family val="2"/>
          </rPr>
          <t xml:space="preserve">
</t>
        </r>
      </text>
    </comment>
    <comment ref="L83" authorId="0">
      <text>
        <r>
          <rPr>
            <b/>
            <sz val="8"/>
            <color indexed="13"/>
            <rFont val="Tahoma"/>
            <family val="2"/>
          </rPr>
          <t>Contrôle pour Type de dossier</t>
        </r>
      </text>
    </comment>
    <comment ref="P85" authorId="2">
      <text>
        <r>
          <rPr>
            <b/>
            <sz val="8"/>
            <color indexed="13"/>
            <rFont val="Tahoma"/>
            <family val="2"/>
          </rPr>
          <t>Le lundi 3 janvier et le lundi 4 janvier sont pris en compte comme jour de congé de l'administration.</t>
        </r>
      </text>
    </comment>
  </commentList>
</comments>
</file>

<file path=xl/comments2.xml><?xml version="1.0" encoding="utf-8"?>
<comments xmlns="http://schemas.openxmlformats.org/spreadsheetml/2006/main">
  <authors>
    <author>Guy BOXHO</author>
    <author>Guy Boxho</author>
  </authors>
  <commentList>
    <comment ref="I2" authorId="0">
      <text>
        <r>
          <rPr>
            <b/>
            <sz val="8"/>
            <color indexed="13"/>
            <rFont val="Tahoma"/>
            <family val="2"/>
          </rPr>
          <t>Contrôle pour demande de reconsidération</t>
        </r>
      </text>
    </comment>
    <comment ref="I3" authorId="0">
      <text>
        <r>
          <rPr>
            <b/>
            <sz val="8"/>
            <color indexed="13"/>
            <rFont val="Tahoma"/>
            <family val="2"/>
          </rPr>
          <t>Contrôle pour confirmation d'EIE</t>
        </r>
      </text>
    </comment>
    <comment ref="I9" authorId="0">
      <text>
        <r>
          <rPr>
            <b/>
            <sz val="8"/>
            <color indexed="41"/>
            <rFont val="Tahoma"/>
            <family val="2"/>
          </rPr>
          <t>Calcul intermédiaire pour affichage B26</t>
        </r>
      </text>
    </comment>
    <comment ref="I14" authorId="0">
      <text>
        <r>
          <rPr>
            <b/>
            <sz val="8"/>
            <color indexed="41"/>
            <rFont val="Tahoma"/>
            <family val="2"/>
          </rPr>
          <t>Calcul intermédiaire pour B24 pour ne pas dépasser 7 niveaux de parenthèses</t>
        </r>
      </text>
    </comment>
    <comment ref="I17" authorId="0">
      <text>
        <r>
          <rPr>
            <b/>
            <sz val="8"/>
            <color indexed="15"/>
            <rFont val="Tahoma"/>
            <family val="2"/>
          </rPr>
          <t>TOUS les délais respectés</t>
        </r>
      </text>
    </comment>
    <comment ref="A20" authorId="1">
      <text>
        <r>
          <rPr>
            <b/>
            <sz val="9"/>
            <color indexed="9"/>
            <rFont val="Tahoma"/>
            <family val="2"/>
          </rPr>
          <t>Il s'agit des dates qui servent pour la suite de la procédure.</t>
        </r>
      </text>
    </comment>
    <comment ref="K24" authorId="0">
      <text>
        <r>
          <rPr>
            <b/>
            <sz val="8"/>
            <color indexed="15"/>
            <rFont val="Tahoma"/>
            <family val="2"/>
          </rPr>
          <t>1ère recevabilité = 0 si délai non respecté, = 1 dans les autres cas</t>
        </r>
      </text>
    </comment>
    <comment ref="L24" authorId="0">
      <text>
        <r>
          <rPr>
            <b/>
            <sz val="8"/>
            <color indexed="15"/>
            <rFont val="Tahoma"/>
            <family val="2"/>
          </rPr>
          <t>2ème recevabilité = 0 si délai non respecté, = 1 dans les autres cas</t>
        </r>
      </text>
    </comment>
    <comment ref="I26" authorId="0">
      <text>
        <r>
          <rPr>
            <b/>
            <sz val="8"/>
            <color indexed="15"/>
            <rFont val="Tahoma"/>
            <family val="2"/>
          </rPr>
          <t xml:space="preserve">Aucune demande de reconsidération n'est introduite </t>
        </r>
        <r>
          <rPr>
            <b/>
            <sz val="8"/>
            <color indexed="13"/>
            <rFont val="Tahoma"/>
            <family val="2"/>
          </rPr>
          <t>OU</t>
        </r>
        <r>
          <rPr>
            <b/>
            <sz val="8"/>
            <color indexed="15"/>
            <rFont val="Tahoma"/>
            <family val="2"/>
          </rPr>
          <t xml:space="preserve"> cette demande est tardive</t>
        </r>
      </text>
    </comment>
    <comment ref="I30" authorId="0">
      <text>
        <r>
          <rPr>
            <b/>
            <sz val="8"/>
            <color indexed="15"/>
            <rFont val="Tahoma"/>
            <family val="2"/>
          </rPr>
          <t xml:space="preserve">Demande de reconsidération introduite dans les délais </t>
        </r>
        <r>
          <rPr>
            <b/>
            <sz val="8"/>
            <color indexed="13"/>
            <rFont val="Tahoma"/>
            <family val="2"/>
          </rPr>
          <t>ET</t>
        </r>
        <r>
          <rPr>
            <b/>
            <sz val="8"/>
            <color indexed="15"/>
            <rFont val="Tahoma"/>
            <family val="2"/>
          </rPr>
          <t xml:space="preserve"> envoi tardif de la réformation</t>
        </r>
      </text>
    </comment>
  </commentList>
</comments>
</file>

<file path=xl/comments3.xml><?xml version="1.0" encoding="utf-8"?>
<comments xmlns="http://schemas.openxmlformats.org/spreadsheetml/2006/main">
  <authors>
    <author>Guy Boxho</author>
    <author xml:space="preserve"> Guy BOXHO</author>
    <author>Guy BOXHO</author>
  </authors>
  <commentList>
    <comment ref="I3" authorId="0">
      <text>
        <r>
          <rPr>
            <sz val="8"/>
            <color indexed="81"/>
            <rFont val="Tahoma"/>
            <family val="2"/>
          </rPr>
          <t>Durée maximale de la neutralisation de l'enquête pour les communes 2 à 5</t>
        </r>
      </text>
    </comment>
    <comment ref="A13" authorId="0">
      <text>
        <r>
          <rPr>
            <b/>
            <sz val="8"/>
            <color indexed="51"/>
            <rFont val="Tahoma"/>
            <family val="2"/>
          </rPr>
          <t>Les cellules A13, A25, A37 et A49 doivent être vides, c-à-d sans même un caractère blanc (espace), si l'enquêtre publique n'a été réalisée que dans 1 seule commune. Sinon, risque d'erreur dans le délais de remise du rapport et dans celui de la décision lorsqu'il y a neutralisation de l'enquête entre le 16/07 et le 15/08  et entre le 24/12 et le 01/01 !</t>
        </r>
      </text>
    </comment>
    <comment ref="D14" authorId="0">
      <text>
        <r>
          <rPr>
            <b/>
            <sz val="9"/>
            <color indexed="81"/>
            <rFont val="Tahoma"/>
            <family val="2"/>
          </rPr>
          <t>Date d'envoi par le CBE</t>
        </r>
      </text>
    </comment>
    <comment ref="I15" authorId="1">
      <text>
        <r>
          <rPr>
            <b/>
            <sz val="8"/>
            <color indexed="16"/>
            <rFont val="Tahoma"/>
            <family val="2"/>
          </rPr>
          <t xml:space="preserve"> 1er jour de neutralisation pour l'année considérée</t>
        </r>
      </text>
    </comment>
    <comment ref="J15" authorId="1">
      <text>
        <r>
          <rPr>
            <b/>
            <sz val="8"/>
            <color indexed="16"/>
            <rFont val="Tahoma"/>
            <family val="2"/>
          </rPr>
          <t xml:space="preserve"> Date théorique de début d'enquête</t>
        </r>
      </text>
    </comment>
    <comment ref="I16" authorId="1">
      <text>
        <r>
          <rPr>
            <b/>
            <sz val="8"/>
            <color indexed="16"/>
            <rFont val="Tahoma"/>
            <family val="2"/>
          </rPr>
          <t xml:space="preserve"> Dernier jour de neutralisation pour l'année considérée</t>
        </r>
      </text>
    </comment>
    <comment ref="J16" authorId="1">
      <text>
        <r>
          <rPr>
            <b/>
            <sz val="8"/>
            <color indexed="16"/>
            <rFont val="Tahoma"/>
            <family val="2"/>
          </rPr>
          <t xml:space="preserve"> Date théorique de fin d'enquête</t>
        </r>
      </text>
    </comment>
    <comment ref="I17" authorId="1">
      <text>
        <r>
          <rPr>
            <b/>
            <sz val="8"/>
            <color indexed="16"/>
            <rFont val="Tahoma"/>
            <family val="2"/>
          </rPr>
          <t xml:space="preserve"> Durée de la neutralisation "été"</t>
        </r>
      </text>
    </comment>
    <comment ref="J17" authorId="1">
      <text>
        <r>
          <rPr>
            <b/>
            <sz val="8"/>
            <color indexed="16"/>
            <rFont val="Tahoma"/>
            <family val="2"/>
          </rPr>
          <t xml:space="preserve"> Date de fin d'enquête adaptée à la neutralisation</t>
        </r>
      </text>
    </comment>
    <comment ref="K17" authorId="0">
      <text>
        <r>
          <rPr>
            <b/>
            <sz val="8"/>
            <color indexed="47"/>
            <rFont val="Tahoma"/>
            <family val="2"/>
          </rPr>
          <t>Durée de la neutralisation pour les dates "théoriques" d'enquête</t>
        </r>
      </text>
    </comment>
    <comment ref="I19" authorId="1">
      <text>
        <r>
          <rPr>
            <b/>
            <sz val="8"/>
            <color indexed="16"/>
            <rFont val="Tahoma"/>
            <family val="2"/>
          </rPr>
          <t xml:space="preserve"> 1er jour de neutralisation pour l'année considérée</t>
        </r>
      </text>
    </comment>
    <comment ref="I20" authorId="1">
      <text>
        <r>
          <rPr>
            <b/>
            <sz val="8"/>
            <color indexed="16"/>
            <rFont val="Tahoma"/>
            <family val="2"/>
          </rPr>
          <t xml:space="preserve"> Dernier jour de neutralisation pour l'année considérée</t>
        </r>
      </text>
    </comment>
    <comment ref="I21" authorId="2">
      <text>
        <r>
          <rPr>
            <b/>
            <sz val="8"/>
            <color indexed="16"/>
            <rFont val="Tahoma"/>
            <family val="2"/>
          </rPr>
          <t>Durée de la neutralisation "hiver"</t>
        </r>
      </text>
    </comment>
    <comment ref="K21" authorId="0">
      <text>
        <r>
          <rPr>
            <b/>
            <sz val="8"/>
            <color indexed="47"/>
            <rFont val="Tahoma"/>
            <family val="2"/>
          </rPr>
          <t>Durée de la neutralisation pour les dates "théoriques" d'enquête</t>
        </r>
      </text>
    </comment>
    <comment ref="D26" authorId="0">
      <text>
        <r>
          <rPr>
            <b/>
            <sz val="9"/>
            <color indexed="81"/>
            <rFont val="Tahoma"/>
            <family val="2"/>
          </rPr>
          <t>Date d'envoi par le CBE</t>
        </r>
      </text>
    </comment>
    <comment ref="I27" authorId="1">
      <text>
        <r>
          <rPr>
            <b/>
            <sz val="8"/>
            <color indexed="16"/>
            <rFont val="Tahoma"/>
            <family val="2"/>
          </rPr>
          <t xml:space="preserve"> 1er jour de neutralisation pour l'année considérée</t>
        </r>
      </text>
    </comment>
    <comment ref="J27" authorId="1">
      <text>
        <r>
          <rPr>
            <b/>
            <sz val="8"/>
            <color indexed="16"/>
            <rFont val="Tahoma"/>
            <family val="2"/>
          </rPr>
          <t xml:space="preserve"> Date théorique de début d'enquête</t>
        </r>
      </text>
    </comment>
    <comment ref="I28" authorId="1">
      <text>
        <r>
          <rPr>
            <b/>
            <sz val="8"/>
            <color indexed="16"/>
            <rFont val="Tahoma"/>
            <family val="2"/>
          </rPr>
          <t xml:space="preserve"> Dernier jour de neutralisation pour l'année considérée</t>
        </r>
      </text>
    </comment>
    <comment ref="J28" authorId="1">
      <text>
        <r>
          <rPr>
            <b/>
            <sz val="8"/>
            <color indexed="16"/>
            <rFont val="Tahoma"/>
            <family val="2"/>
          </rPr>
          <t xml:space="preserve"> Date théorique de fin d'enquête</t>
        </r>
      </text>
    </comment>
    <comment ref="I29" authorId="1">
      <text>
        <r>
          <rPr>
            <b/>
            <sz val="8"/>
            <color indexed="16"/>
            <rFont val="Tahoma"/>
            <family val="2"/>
          </rPr>
          <t xml:space="preserve"> Durée de la neutralisation "été"</t>
        </r>
      </text>
    </comment>
    <comment ref="J29" authorId="1">
      <text>
        <r>
          <rPr>
            <b/>
            <sz val="8"/>
            <color indexed="16"/>
            <rFont val="Tahoma"/>
            <family val="2"/>
          </rPr>
          <t xml:space="preserve"> Date de fin d'enquête adaptée à la neutralisation</t>
        </r>
      </text>
    </comment>
    <comment ref="K29" authorId="0">
      <text>
        <r>
          <rPr>
            <b/>
            <sz val="8"/>
            <color indexed="47"/>
            <rFont val="Tahoma"/>
            <family val="2"/>
          </rPr>
          <t>Durée de la neutralisation pour les dates "théoriques" d'enquête</t>
        </r>
      </text>
    </comment>
    <comment ref="I31" authorId="1">
      <text>
        <r>
          <rPr>
            <b/>
            <sz val="8"/>
            <color indexed="16"/>
            <rFont val="Tahoma"/>
            <family val="2"/>
          </rPr>
          <t xml:space="preserve"> 1er jour de neutralisation pour l'année considérée</t>
        </r>
      </text>
    </comment>
    <comment ref="I32" authorId="1">
      <text>
        <r>
          <rPr>
            <b/>
            <sz val="8"/>
            <color indexed="16"/>
            <rFont val="Tahoma"/>
            <family val="2"/>
          </rPr>
          <t xml:space="preserve"> Dernier jour de neutralisation pour l'année considérée</t>
        </r>
      </text>
    </comment>
    <comment ref="I33" authorId="2">
      <text>
        <r>
          <rPr>
            <b/>
            <sz val="8"/>
            <color indexed="16"/>
            <rFont val="Tahoma"/>
            <family val="2"/>
          </rPr>
          <t>Durée de la neutralisation "hiver"</t>
        </r>
      </text>
    </comment>
    <comment ref="K33" authorId="0">
      <text>
        <r>
          <rPr>
            <b/>
            <sz val="8"/>
            <color indexed="47"/>
            <rFont val="Tahoma"/>
            <family val="2"/>
          </rPr>
          <t>Durée de la neutralisation pour les dates "théoriques" d'enquête</t>
        </r>
      </text>
    </comment>
    <comment ref="D38" authorId="0">
      <text>
        <r>
          <rPr>
            <b/>
            <sz val="9"/>
            <color indexed="81"/>
            <rFont val="Tahoma"/>
            <family val="2"/>
          </rPr>
          <t>Date d'envoi par le CBE</t>
        </r>
      </text>
    </comment>
    <comment ref="I39" authorId="1">
      <text>
        <r>
          <rPr>
            <b/>
            <sz val="8"/>
            <color indexed="16"/>
            <rFont val="Tahoma"/>
            <family val="2"/>
          </rPr>
          <t xml:space="preserve"> 1er jour de neutralisation pour l'année considérée</t>
        </r>
      </text>
    </comment>
    <comment ref="J39" authorId="1">
      <text>
        <r>
          <rPr>
            <b/>
            <sz val="8"/>
            <color indexed="16"/>
            <rFont val="Tahoma"/>
            <family val="2"/>
          </rPr>
          <t xml:space="preserve"> Date théorique de début d'enquête</t>
        </r>
      </text>
    </comment>
    <comment ref="I40" authorId="1">
      <text>
        <r>
          <rPr>
            <b/>
            <sz val="8"/>
            <color indexed="16"/>
            <rFont val="Tahoma"/>
            <family val="2"/>
          </rPr>
          <t xml:space="preserve"> Dernier jour de neutralisation pour l'année considérée</t>
        </r>
      </text>
    </comment>
    <comment ref="J40" authorId="1">
      <text>
        <r>
          <rPr>
            <b/>
            <sz val="8"/>
            <color indexed="16"/>
            <rFont val="Tahoma"/>
            <family val="2"/>
          </rPr>
          <t xml:space="preserve"> Date théorique de fin d'enquête</t>
        </r>
      </text>
    </comment>
    <comment ref="I41" authorId="1">
      <text>
        <r>
          <rPr>
            <b/>
            <sz val="8"/>
            <color indexed="16"/>
            <rFont val="Tahoma"/>
            <family val="2"/>
          </rPr>
          <t xml:space="preserve"> Durée de la neutralisation "été"</t>
        </r>
      </text>
    </comment>
    <comment ref="J41" authorId="1">
      <text>
        <r>
          <rPr>
            <b/>
            <sz val="8"/>
            <color indexed="16"/>
            <rFont val="Tahoma"/>
            <family val="2"/>
          </rPr>
          <t xml:space="preserve"> Date de fin d'enquête adaptée à la neutralisation</t>
        </r>
      </text>
    </comment>
    <comment ref="K41" authorId="0">
      <text>
        <r>
          <rPr>
            <b/>
            <sz val="8"/>
            <color indexed="47"/>
            <rFont val="Tahoma"/>
            <family val="2"/>
          </rPr>
          <t>Durée de la neutralisation pour les dates "théoriques" d'enquête</t>
        </r>
      </text>
    </comment>
    <comment ref="I43" authorId="1">
      <text>
        <r>
          <rPr>
            <b/>
            <sz val="8"/>
            <color indexed="16"/>
            <rFont val="Tahoma"/>
            <family val="2"/>
          </rPr>
          <t xml:space="preserve"> 1er jour de neutralisation pour l'année considérée</t>
        </r>
      </text>
    </comment>
    <comment ref="I44" authorId="1">
      <text>
        <r>
          <rPr>
            <b/>
            <sz val="8"/>
            <color indexed="16"/>
            <rFont val="Tahoma"/>
            <family val="2"/>
          </rPr>
          <t xml:space="preserve"> Dernier jour de neutralisation pour l'année considérée</t>
        </r>
      </text>
    </comment>
    <comment ref="I45" authorId="2">
      <text>
        <r>
          <rPr>
            <b/>
            <sz val="8"/>
            <color indexed="16"/>
            <rFont val="Tahoma"/>
            <family val="2"/>
          </rPr>
          <t>Durée de la neutralisation "hiver"</t>
        </r>
      </text>
    </comment>
    <comment ref="K45" authorId="0">
      <text>
        <r>
          <rPr>
            <b/>
            <sz val="8"/>
            <color indexed="47"/>
            <rFont val="Tahoma"/>
            <family val="2"/>
          </rPr>
          <t>Durée de la neutralisation pour les dates "théoriques" d'enquête</t>
        </r>
      </text>
    </comment>
    <comment ref="D50" authorId="0">
      <text>
        <r>
          <rPr>
            <b/>
            <sz val="9"/>
            <color indexed="81"/>
            <rFont val="Tahoma"/>
            <family val="2"/>
          </rPr>
          <t>Date d'envoi par le CBE</t>
        </r>
      </text>
    </comment>
    <comment ref="I51" authorId="1">
      <text>
        <r>
          <rPr>
            <b/>
            <sz val="8"/>
            <color indexed="16"/>
            <rFont val="Tahoma"/>
            <family val="2"/>
          </rPr>
          <t xml:space="preserve"> 1er jour de neutralisation pour l'année considérée</t>
        </r>
      </text>
    </comment>
    <comment ref="J51" authorId="1">
      <text>
        <r>
          <rPr>
            <b/>
            <sz val="8"/>
            <color indexed="16"/>
            <rFont val="Tahoma"/>
            <family val="2"/>
          </rPr>
          <t xml:space="preserve"> Date théorique de début d'enquête</t>
        </r>
      </text>
    </comment>
    <comment ref="I52" authorId="1">
      <text>
        <r>
          <rPr>
            <b/>
            <sz val="8"/>
            <color indexed="16"/>
            <rFont val="Tahoma"/>
            <family val="2"/>
          </rPr>
          <t xml:space="preserve"> Dernier jour de neutralisation pour l'année considérée</t>
        </r>
      </text>
    </comment>
    <comment ref="J52" authorId="1">
      <text>
        <r>
          <rPr>
            <b/>
            <sz val="8"/>
            <color indexed="16"/>
            <rFont val="Tahoma"/>
            <family val="2"/>
          </rPr>
          <t xml:space="preserve"> Date théorique de fin d'enquête</t>
        </r>
      </text>
    </comment>
    <comment ref="I53" authorId="1">
      <text>
        <r>
          <rPr>
            <b/>
            <sz val="8"/>
            <color indexed="16"/>
            <rFont val="Tahoma"/>
            <family val="2"/>
          </rPr>
          <t xml:space="preserve"> Durée de la neutralisation "été"</t>
        </r>
      </text>
    </comment>
    <comment ref="J53" authorId="1">
      <text>
        <r>
          <rPr>
            <b/>
            <sz val="8"/>
            <color indexed="16"/>
            <rFont val="Tahoma"/>
            <family val="2"/>
          </rPr>
          <t xml:space="preserve"> Date de fin d'enquête adaptée à la neutralisation</t>
        </r>
      </text>
    </comment>
    <comment ref="K53" authorId="0">
      <text>
        <r>
          <rPr>
            <b/>
            <sz val="8"/>
            <color indexed="47"/>
            <rFont val="Tahoma"/>
            <family val="2"/>
          </rPr>
          <t>Durée de la neutralisation pour les dates "théoriques" d'enquête</t>
        </r>
      </text>
    </comment>
    <comment ref="I55" authorId="1">
      <text>
        <r>
          <rPr>
            <b/>
            <sz val="8"/>
            <color indexed="16"/>
            <rFont val="Tahoma"/>
            <family val="2"/>
          </rPr>
          <t xml:space="preserve"> 1er jour de neutralisation pour l'année considérée</t>
        </r>
      </text>
    </comment>
    <comment ref="I56" authorId="1">
      <text>
        <r>
          <rPr>
            <b/>
            <sz val="8"/>
            <color indexed="16"/>
            <rFont val="Tahoma"/>
            <family val="2"/>
          </rPr>
          <t xml:space="preserve"> Dernier jour de neutralisation pour l'année considérée</t>
        </r>
      </text>
    </comment>
    <comment ref="I57" authorId="2">
      <text>
        <r>
          <rPr>
            <b/>
            <sz val="8"/>
            <color indexed="16"/>
            <rFont val="Tahoma"/>
            <family val="2"/>
          </rPr>
          <t>Durée de la neutralisation "hiver"</t>
        </r>
      </text>
    </comment>
    <comment ref="K57" authorId="0">
      <text>
        <r>
          <rPr>
            <b/>
            <sz val="8"/>
            <color indexed="47"/>
            <rFont val="Tahoma"/>
            <family val="2"/>
          </rPr>
          <t>Durée de la neutralisation pour les dates "théoriques" d'enquête</t>
        </r>
      </text>
    </comment>
  </commentList>
</comments>
</file>

<file path=xl/comments4.xml><?xml version="1.0" encoding="utf-8"?>
<comments xmlns="http://schemas.openxmlformats.org/spreadsheetml/2006/main">
  <authors>
    <author xml:space="preserve"> Guy BOXHO</author>
    <author>Guy Boxho</author>
    <author>Guy BOXHO</author>
  </authors>
  <commentList>
    <comment ref="I4" authorId="0">
      <text>
        <r>
          <rPr>
            <b/>
            <sz val="8"/>
            <color indexed="13"/>
            <rFont val="Tahoma"/>
            <family val="2"/>
          </rPr>
          <t>Envoi du rapport de synthèsqe avant la date ultime</t>
        </r>
      </text>
    </comment>
    <comment ref="I5" authorId="0">
      <text>
        <r>
          <rPr>
            <b/>
            <sz val="8"/>
            <color indexed="41"/>
            <rFont val="Tahoma"/>
            <family val="2"/>
          </rPr>
          <t xml:space="preserve"> Autorité compétente
1 = CBE
2 = FD + FD</t>
        </r>
      </text>
    </comment>
    <comment ref="I6" authorId="0">
      <text>
        <r>
          <rPr>
            <b/>
            <sz val="8"/>
            <color indexed="9"/>
            <rFont val="Tahoma"/>
            <family val="2"/>
          </rPr>
          <t xml:space="preserve"> Neutralisation totale des enquêtes</t>
        </r>
      </text>
    </comment>
    <comment ref="J10" authorId="1">
      <text>
        <r>
          <rPr>
            <sz val="9"/>
            <color indexed="81"/>
            <rFont val="Tahoma"/>
            <family val="2"/>
          </rPr>
          <t>Nombre de jours pour la réception des avis en tenant compte du 16/07 au 15/08.</t>
        </r>
      </text>
    </comment>
    <comment ref="A15" authorId="1">
      <text>
        <r>
          <rPr>
            <b/>
            <sz val="9"/>
            <color indexed="9"/>
            <rFont val="Tahoma"/>
            <family val="2"/>
          </rPr>
          <t>Il s'agit des dates qui servent pour la suite de la procédure.</t>
        </r>
      </text>
    </comment>
    <comment ref="D20" authorId="1">
      <text>
        <r>
          <rPr>
            <sz val="9"/>
            <color indexed="81"/>
            <rFont val="Tahoma"/>
            <family val="2"/>
          </rPr>
          <t>Date d'envoi par le CBE</t>
        </r>
      </text>
    </comment>
    <comment ref="I20" authorId="0">
      <text>
        <r>
          <rPr>
            <b/>
            <sz val="8"/>
            <color indexed="16"/>
            <rFont val="Tahoma"/>
            <family val="2"/>
          </rPr>
          <t xml:space="preserve"> 1er jour de neutralisation pour l'année considérée</t>
        </r>
      </text>
    </comment>
    <comment ref="J20" authorId="0">
      <text>
        <r>
          <rPr>
            <b/>
            <sz val="8"/>
            <color indexed="16"/>
            <rFont val="Tahoma"/>
            <family val="2"/>
          </rPr>
          <t xml:space="preserve"> Date théorique de début d'enquête</t>
        </r>
      </text>
    </comment>
    <comment ref="I21" authorId="0">
      <text>
        <r>
          <rPr>
            <b/>
            <sz val="8"/>
            <color indexed="16"/>
            <rFont val="Tahoma"/>
            <family val="2"/>
          </rPr>
          <t xml:space="preserve"> Dernier jour de neutralisation pour l'année considérée</t>
        </r>
      </text>
    </comment>
    <comment ref="J21" authorId="0">
      <text>
        <r>
          <rPr>
            <b/>
            <sz val="8"/>
            <color indexed="16"/>
            <rFont val="Tahoma"/>
            <family val="2"/>
          </rPr>
          <t xml:space="preserve"> Date théorique de fin d'enquête</t>
        </r>
      </text>
    </comment>
    <comment ref="I22" authorId="0">
      <text>
        <r>
          <rPr>
            <b/>
            <sz val="8"/>
            <color indexed="16"/>
            <rFont val="Tahoma"/>
            <family val="2"/>
          </rPr>
          <t xml:space="preserve"> Durée de la neutralisation "été"</t>
        </r>
      </text>
    </comment>
    <comment ref="J22" authorId="0">
      <text>
        <r>
          <rPr>
            <b/>
            <sz val="8"/>
            <color indexed="16"/>
            <rFont val="Tahoma"/>
            <family val="2"/>
          </rPr>
          <t xml:space="preserve"> Date de fin d'enquête adaptée à la neutralisation</t>
        </r>
      </text>
    </comment>
    <comment ref="A24" authorId="1">
      <text>
        <r>
          <rPr>
            <b/>
            <sz val="9"/>
            <color indexed="9"/>
            <rFont val="Tahoma"/>
            <family val="2"/>
          </rPr>
          <t>Guy Boxho:
Il s'agit des dates qui servent pour la suite de la procédure.</t>
        </r>
      </text>
    </comment>
    <comment ref="I24" authorId="0">
      <text>
        <r>
          <rPr>
            <b/>
            <sz val="8"/>
            <color indexed="16"/>
            <rFont val="Tahoma"/>
            <family val="2"/>
          </rPr>
          <t xml:space="preserve"> 1er jour de neutralisation pour l'année considérée</t>
        </r>
      </text>
    </comment>
    <comment ref="I25" authorId="0">
      <text>
        <r>
          <rPr>
            <b/>
            <sz val="8"/>
            <color indexed="16"/>
            <rFont val="Tahoma"/>
            <family val="2"/>
          </rPr>
          <t xml:space="preserve"> Dernier jour de neutralisation pour l'année considérée</t>
        </r>
      </text>
    </comment>
    <comment ref="E26" authorId="1">
      <text>
        <r>
          <rPr>
            <b/>
            <sz val="8"/>
            <color indexed="15"/>
            <rFont val="Verdana"/>
            <family val="2"/>
          </rPr>
          <t>Date effective de la notification de la prorogation.</t>
        </r>
      </text>
    </comment>
    <comment ref="I26" authorId="2">
      <text>
        <r>
          <rPr>
            <b/>
            <sz val="8"/>
            <color indexed="16"/>
            <rFont val="Tahoma"/>
            <family val="2"/>
          </rPr>
          <t>Durée de la neutralisation "hiver"</t>
        </r>
      </text>
    </comment>
    <comment ref="K26" authorId="1">
      <text>
        <r>
          <rPr>
            <b/>
            <sz val="8"/>
            <color indexed="47"/>
            <rFont val="Tahoma"/>
            <family val="2"/>
          </rPr>
          <t>Durée de la neutralisation pour les dates "théoriques" d'enquête</t>
        </r>
      </text>
    </comment>
    <comment ref="E32" authorId="1">
      <text>
        <r>
          <rPr>
            <b/>
            <sz val="9"/>
            <color indexed="81"/>
            <rFont val="Tahoma"/>
            <family val="2"/>
          </rPr>
          <t>Guy Boxho:</t>
        </r>
        <r>
          <rPr>
            <sz val="9"/>
            <color indexed="81"/>
            <rFont val="Tahoma"/>
            <family val="2"/>
          </rPr>
          <t xml:space="preserve">
Réception par la commune de la demande d'ouverture d'enquête</t>
        </r>
      </text>
    </comment>
    <comment ref="B33" authorId="1">
      <text>
        <r>
          <rPr>
            <sz val="9"/>
            <color indexed="81"/>
            <rFont val="Tahoma"/>
            <family val="2"/>
          </rPr>
          <t>Article 14 de AGW procédure.</t>
        </r>
      </text>
    </comment>
    <comment ref="I33" authorId="0">
      <text>
        <r>
          <rPr>
            <b/>
            <sz val="8"/>
            <color indexed="11"/>
            <rFont val="Tahoma"/>
            <family val="2"/>
          </rPr>
          <t xml:space="preserve"> Date du rapport : calcul intermédiaire</t>
        </r>
      </text>
    </comment>
    <comment ref="I34" authorId="2">
      <text>
        <r>
          <rPr>
            <b/>
            <sz val="8"/>
            <color indexed="81"/>
            <rFont val="Tahoma"/>
            <family val="2"/>
          </rPr>
          <t>Nombre de jours pour notification décision</t>
        </r>
      </text>
    </comment>
    <comment ref="AA52" authorId="0">
      <text>
        <r>
          <rPr>
            <b/>
            <sz val="8"/>
            <color indexed="15"/>
            <rFont val="Tahoma"/>
            <family val="2"/>
          </rPr>
          <t xml:space="preserve"> Délai de base selon décret</t>
        </r>
      </text>
    </comment>
    <comment ref="AD52" authorId="0">
      <text>
        <r>
          <rPr>
            <b/>
            <sz val="8"/>
            <color indexed="15"/>
            <rFont val="Tahoma"/>
            <family val="2"/>
          </rPr>
          <t xml:space="preserve"> Délai de base selon décret</t>
        </r>
      </text>
    </comment>
    <comment ref="AG52" authorId="0">
      <text>
        <r>
          <rPr>
            <b/>
            <sz val="8"/>
            <color indexed="15"/>
            <rFont val="Tahoma"/>
            <family val="2"/>
          </rPr>
          <t xml:space="preserve"> Délai de base selon décret</t>
        </r>
      </text>
    </comment>
    <comment ref="V84" authorId="2">
      <text>
        <r>
          <rPr>
            <b/>
            <sz val="8"/>
            <color indexed="13"/>
            <rFont val="Tahoma"/>
            <family val="2"/>
          </rPr>
          <t>Le lundi 3 janvier et le lundi 4 janvier sont pris en compte comme jour de congé de l'administration.</t>
        </r>
      </text>
    </comment>
  </commentList>
</comments>
</file>

<file path=xl/comments5.xml><?xml version="1.0" encoding="utf-8"?>
<comments xmlns="http://schemas.openxmlformats.org/spreadsheetml/2006/main">
  <authors>
    <author>Guy BOXHO</author>
    <author>Guy Boxho</author>
    <author xml:space="preserve"> Guy BOXHO</author>
  </authors>
  <commentList>
    <comment ref="J3" authorId="0">
      <text>
        <r>
          <rPr>
            <sz val="8"/>
            <color indexed="81"/>
            <rFont val="Tahoma"/>
            <family val="2"/>
          </rPr>
          <t>Durée maximale de la neutralisation de l'enquête pour les communes 2 à 5</t>
        </r>
      </text>
    </comment>
    <comment ref="A13" authorId="1">
      <text>
        <r>
          <rPr>
            <b/>
            <sz val="8"/>
            <color indexed="51"/>
            <rFont val="Tahoma"/>
            <family val="2"/>
          </rPr>
          <t>Les cellules A13, A25, A37 et A49 doivent être vides, c-à-d sans même un caractère blanc (espace), si l'enquêtre publique n'a été réalisée que dans 1 seule commune. Sinon, risque d'erreur dans le délais de remise du rapport et dans celui de la décision lorsqu'il y a neutralisation de l'enquête entre le 16/07 et le 15/08  et entre le 24/12 et le 01/01 !</t>
        </r>
      </text>
    </comment>
    <comment ref="D14" authorId="1">
      <text>
        <r>
          <rPr>
            <b/>
            <sz val="9"/>
            <color indexed="81"/>
            <rFont val="Tahoma"/>
            <family val="2"/>
          </rPr>
          <t>Date d'envoi par le CBE</t>
        </r>
      </text>
    </comment>
    <comment ref="I15" authorId="2">
      <text>
        <r>
          <rPr>
            <b/>
            <sz val="8"/>
            <color indexed="16"/>
            <rFont val="Tahoma"/>
            <family val="2"/>
          </rPr>
          <t xml:space="preserve"> 1er jour de neutralisation pour l'année considérée</t>
        </r>
      </text>
    </comment>
    <comment ref="J15" authorId="2">
      <text>
        <r>
          <rPr>
            <b/>
            <sz val="8"/>
            <color indexed="16"/>
            <rFont val="Tahoma"/>
            <family val="2"/>
          </rPr>
          <t xml:space="preserve"> Date théorique de début d'enquête</t>
        </r>
      </text>
    </comment>
    <comment ref="K15" authorId="0">
      <text>
        <r>
          <rPr>
            <b/>
            <sz val="8"/>
            <color indexed="81"/>
            <rFont val="Tahoma"/>
            <family val="2"/>
          </rPr>
          <t>Guy BOXHO</t>
        </r>
      </text>
    </comment>
    <comment ref="I16" authorId="2">
      <text>
        <r>
          <rPr>
            <b/>
            <sz val="8"/>
            <color indexed="16"/>
            <rFont val="Tahoma"/>
            <family val="2"/>
          </rPr>
          <t xml:space="preserve"> Dernier jour de neutralisation pour l'année considérée</t>
        </r>
      </text>
    </comment>
    <comment ref="J16" authorId="2">
      <text>
        <r>
          <rPr>
            <b/>
            <sz val="8"/>
            <color indexed="16"/>
            <rFont val="Tahoma"/>
            <family val="2"/>
          </rPr>
          <t xml:space="preserve"> Date théorique de fin d'enquête</t>
        </r>
      </text>
    </comment>
    <comment ref="I17" authorId="2">
      <text>
        <r>
          <rPr>
            <b/>
            <sz val="8"/>
            <color indexed="16"/>
            <rFont val="Tahoma"/>
            <family val="2"/>
          </rPr>
          <t xml:space="preserve"> Durée de la neutralisation "été"</t>
        </r>
      </text>
    </comment>
    <comment ref="J17" authorId="2">
      <text>
        <r>
          <rPr>
            <b/>
            <sz val="8"/>
            <color indexed="16"/>
            <rFont val="Tahoma"/>
            <family val="2"/>
          </rPr>
          <t xml:space="preserve"> Date de fin d'enquête adaptée à la neutralisation</t>
        </r>
      </text>
    </comment>
    <comment ref="K17" authorId="1">
      <text>
        <r>
          <rPr>
            <b/>
            <sz val="8"/>
            <color indexed="47"/>
            <rFont val="Tahoma"/>
            <family val="2"/>
          </rPr>
          <t>Durée de la neutralisation pour les dates "théoriques" d'enquête</t>
        </r>
      </text>
    </comment>
    <comment ref="A18" authorId="1">
      <text>
        <r>
          <rPr>
            <b/>
            <sz val="9"/>
            <color indexed="11"/>
            <rFont val="Tahoma"/>
            <family val="2"/>
          </rPr>
          <t>Il s'agit des dates qui servent pour la suite de la procédure.</t>
        </r>
      </text>
    </comment>
    <comment ref="I19" authorId="2">
      <text>
        <r>
          <rPr>
            <b/>
            <sz val="8"/>
            <color indexed="16"/>
            <rFont val="Tahoma"/>
            <family val="2"/>
          </rPr>
          <t xml:space="preserve"> 1er jour de neutralisation pour l'année considérée</t>
        </r>
      </text>
    </comment>
    <comment ref="J19" authorId="1">
      <text>
        <r>
          <rPr>
            <b/>
            <sz val="8"/>
            <color indexed="81"/>
            <rFont val="Tahoma"/>
            <family val="2"/>
          </rPr>
          <t>Guy Boxho</t>
        </r>
      </text>
    </comment>
    <comment ref="K19" authorId="0">
      <text>
        <r>
          <rPr>
            <b/>
            <sz val="8"/>
            <color indexed="81"/>
            <rFont val="Tahoma"/>
            <family val="2"/>
          </rPr>
          <t>Guy BOXHO</t>
        </r>
      </text>
    </comment>
    <comment ref="I20" authorId="2">
      <text>
        <r>
          <rPr>
            <b/>
            <sz val="8"/>
            <color indexed="16"/>
            <rFont val="Tahoma"/>
            <family val="2"/>
          </rPr>
          <t xml:space="preserve"> Dernier jour de neutralisation pour l'année considérée</t>
        </r>
      </text>
    </comment>
    <comment ref="I21" authorId="0">
      <text>
        <r>
          <rPr>
            <b/>
            <sz val="8"/>
            <color indexed="16"/>
            <rFont val="Tahoma"/>
            <family val="2"/>
          </rPr>
          <t>Durée de la neutralisation "hiver"</t>
        </r>
      </text>
    </comment>
    <comment ref="K21" authorId="1">
      <text>
        <r>
          <rPr>
            <b/>
            <sz val="8"/>
            <color indexed="47"/>
            <rFont val="Tahoma"/>
            <family val="2"/>
          </rPr>
          <t>Durée de la neutralisation pour les dates "théoriques" d'enquête</t>
        </r>
      </text>
    </comment>
    <comment ref="D26" authorId="1">
      <text>
        <r>
          <rPr>
            <b/>
            <sz val="9"/>
            <color indexed="81"/>
            <rFont val="Tahoma"/>
            <family val="2"/>
          </rPr>
          <t>Date d'envoi par le CBE</t>
        </r>
      </text>
    </comment>
    <comment ref="I27" authorId="2">
      <text>
        <r>
          <rPr>
            <b/>
            <sz val="8"/>
            <color indexed="16"/>
            <rFont val="Tahoma"/>
            <family val="2"/>
          </rPr>
          <t xml:space="preserve"> 1er jour de neutralisation pour l'année considérée</t>
        </r>
      </text>
    </comment>
    <comment ref="J27" authorId="2">
      <text>
        <r>
          <rPr>
            <b/>
            <sz val="8"/>
            <color indexed="16"/>
            <rFont val="Tahoma"/>
            <family val="2"/>
          </rPr>
          <t xml:space="preserve"> Date théorique de début d'enquête</t>
        </r>
      </text>
    </comment>
    <comment ref="K27" authorId="0">
      <text>
        <r>
          <rPr>
            <b/>
            <sz val="8"/>
            <color indexed="81"/>
            <rFont val="Tahoma"/>
            <family val="2"/>
          </rPr>
          <t>Guy BOXHO</t>
        </r>
      </text>
    </comment>
    <comment ref="I28" authorId="2">
      <text>
        <r>
          <rPr>
            <b/>
            <sz val="8"/>
            <color indexed="16"/>
            <rFont val="Tahoma"/>
            <family val="2"/>
          </rPr>
          <t xml:space="preserve"> Dernier jour de neutralisation pour l'année considérée</t>
        </r>
      </text>
    </comment>
    <comment ref="J28" authorId="2">
      <text>
        <r>
          <rPr>
            <b/>
            <sz val="8"/>
            <color indexed="16"/>
            <rFont val="Tahoma"/>
            <family val="2"/>
          </rPr>
          <t xml:space="preserve"> Date théorique de fin d'enquête</t>
        </r>
      </text>
    </comment>
    <comment ref="I29" authorId="2">
      <text>
        <r>
          <rPr>
            <b/>
            <sz val="8"/>
            <color indexed="16"/>
            <rFont val="Tahoma"/>
            <family val="2"/>
          </rPr>
          <t xml:space="preserve"> Durée de la neutralisation "été"</t>
        </r>
      </text>
    </comment>
    <comment ref="J29" authorId="2">
      <text>
        <r>
          <rPr>
            <b/>
            <sz val="8"/>
            <color indexed="16"/>
            <rFont val="Tahoma"/>
            <family val="2"/>
          </rPr>
          <t xml:space="preserve"> Date de fin d'enquête adaptée à la neutralisation</t>
        </r>
      </text>
    </comment>
    <comment ref="K29" authorId="1">
      <text>
        <r>
          <rPr>
            <b/>
            <sz val="8"/>
            <color indexed="47"/>
            <rFont val="Tahoma"/>
            <family val="2"/>
          </rPr>
          <t>Durée de la neutralisation pour les dates "théoriques" d'enquête</t>
        </r>
      </text>
    </comment>
    <comment ref="A30" authorId="1">
      <text>
        <r>
          <rPr>
            <b/>
            <sz val="9"/>
            <color indexed="11"/>
            <rFont val="Tahoma"/>
            <family val="2"/>
          </rPr>
          <t>Il s'agit des dates qui servent pour la suite de la procédure.</t>
        </r>
      </text>
    </comment>
    <comment ref="I31" authorId="2">
      <text>
        <r>
          <rPr>
            <b/>
            <sz val="8"/>
            <color indexed="16"/>
            <rFont val="Tahoma"/>
            <family val="2"/>
          </rPr>
          <t xml:space="preserve"> 1er jour de neutralisation pour l'année considérée</t>
        </r>
      </text>
    </comment>
    <comment ref="J31" authorId="1">
      <text>
        <r>
          <rPr>
            <b/>
            <sz val="8"/>
            <color indexed="81"/>
            <rFont val="Tahoma"/>
            <family val="2"/>
          </rPr>
          <t>Guy Boxho</t>
        </r>
      </text>
    </comment>
    <comment ref="K31" authorId="0">
      <text>
        <r>
          <rPr>
            <b/>
            <sz val="8"/>
            <color indexed="81"/>
            <rFont val="Tahoma"/>
            <family val="2"/>
          </rPr>
          <t>Guy BOXHO</t>
        </r>
      </text>
    </comment>
    <comment ref="I32" authorId="2">
      <text>
        <r>
          <rPr>
            <b/>
            <sz val="8"/>
            <color indexed="16"/>
            <rFont val="Tahoma"/>
            <family val="2"/>
          </rPr>
          <t xml:space="preserve"> Dernier jour de neutralisation pour l'année considérée</t>
        </r>
      </text>
    </comment>
    <comment ref="I33" authorId="0">
      <text>
        <r>
          <rPr>
            <b/>
            <sz val="8"/>
            <color indexed="16"/>
            <rFont val="Tahoma"/>
            <family val="2"/>
          </rPr>
          <t>Durée de la neutralisation "hiver"</t>
        </r>
      </text>
    </comment>
    <comment ref="K33" authorId="1">
      <text>
        <r>
          <rPr>
            <b/>
            <sz val="8"/>
            <color indexed="47"/>
            <rFont val="Tahoma"/>
            <family val="2"/>
          </rPr>
          <t>Durée de la neutralisation pour les dates "théoriques" d'enquête</t>
        </r>
      </text>
    </comment>
    <comment ref="D38" authorId="1">
      <text>
        <r>
          <rPr>
            <b/>
            <sz val="9"/>
            <color indexed="81"/>
            <rFont val="Tahoma"/>
            <family val="2"/>
          </rPr>
          <t>Date d'envoi par le CBE</t>
        </r>
      </text>
    </comment>
    <comment ref="I39" authorId="2">
      <text>
        <r>
          <rPr>
            <b/>
            <sz val="8"/>
            <color indexed="16"/>
            <rFont val="Tahoma"/>
            <family val="2"/>
          </rPr>
          <t xml:space="preserve"> 1er jour de neutralisation pour l'année considérée</t>
        </r>
      </text>
    </comment>
    <comment ref="J39" authorId="2">
      <text>
        <r>
          <rPr>
            <b/>
            <sz val="8"/>
            <color indexed="16"/>
            <rFont val="Tahoma"/>
            <family val="2"/>
          </rPr>
          <t xml:space="preserve"> Date théorique de début d'enquête</t>
        </r>
      </text>
    </comment>
    <comment ref="K39" authorId="0">
      <text>
        <r>
          <rPr>
            <b/>
            <sz val="8"/>
            <color indexed="81"/>
            <rFont val="Tahoma"/>
            <family val="2"/>
          </rPr>
          <t>Guy BOXHO</t>
        </r>
      </text>
    </comment>
    <comment ref="I40" authorId="2">
      <text>
        <r>
          <rPr>
            <b/>
            <sz val="8"/>
            <color indexed="16"/>
            <rFont val="Tahoma"/>
            <family val="2"/>
          </rPr>
          <t xml:space="preserve"> Dernier jour de neutralisation pour l'année considérée</t>
        </r>
      </text>
    </comment>
    <comment ref="J40" authorId="2">
      <text>
        <r>
          <rPr>
            <b/>
            <sz val="8"/>
            <color indexed="16"/>
            <rFont val="Tahoma"/>
            <family val="2"/>
          </rPr>
          <t xml:space="preserve"> Date théorique de fin d'enquête</t>
        </r>
      </text>
    </comment>
    <comment ref="I41" authorId="2">
      <text>
        <r>
          <rPr>
            <b/>
            <sz val="8"/>
            <color indexed="16"/>
            <rFont val="Tahoma"/>
            <family val="2"/>
          </rPr>
          <t xml:space="preserve"> Durée de la neutralisation "été"</t>
        </r>
      </text>
    </comment>
    <comment ref="J41" authorId="2">
      <text>
        <r>
          <rPr>
            <b/>
            <sz val="8"/>
            <color indexed="16"/>
            <rFont val="Tahoma"/>
            <family val="2"/>
          </rPr>
          <t xml:space="preserve"> Date de fin d'enquête adaptée à la neutralisation</t>
        </r>
      </text>
    </comment>
    <comment ref="K41" authorId="1">
      <text>
        <r>
          <rPr>
            <b/>
            <sz val="8"/>
            <color indexed="47"/>
            <rFont val="Tahoma"/>
            <family val="2"/>
          </rPr>
          <t>Durée de la neutralisation pour les dates "théoriques" d'enquête</t>
        </r>
      </text>
    </comment>
    <comment ref="A42" authorId="1">
      <text>
        <r>
          <rPr>
            <b/>
            <sz val="9"/>
            <color indexed="11"/>
            <rFont val="Tahoma"/>
            <family val="2"/>
          </rPr>
          <t>Il s'agit des dates qui servent pour la suite de la procédure.</t>
        </r>
      </text>
    </comment>
    <comment ref="I43" authorId="2">
      <text>
        <r>
          <rPr>
            <b/>
            <sz val="8"/>
            <color indexed="16"/>
            <rFont val="Tahoma"/>
            <family val="2"/>
          </rPr>
          <t xml:space="preserve"> 1er jour de neutralisation pour l'année considérée</t>
        </r>
      </text>
    </comment>
    <comment ref="J43" authorId="1">
      <text>
        <r>
          <rPr>
            <b/>
            <sz val="8"/>
            <color indexed="81"/>
            <rFont val="Tahoma"/>
            <family val="2"/>
          </rPr>
          <t>Guy Boxho</t>
        </r>
      </text>
    </comment>
    <comment ref="K43" authorId="0">
      <text>
        <r>
          <rPr>
            <b/>
            <sz val="8"/>
            <color indexed="81"/>
            <rFont val="Tahoma"/>
            <family val="2"/>
          </rPr>
          <t>Guy BOXHO</t>
        </r>
      </text>
    </comment>
    <comment ref="I44" authorId="2">
      <text>
        <r>
          <rPr>
            <b/>
            <sz val="8"/>
            <color indexed="16"/>
            <rFont val="Tahoma"/>
            <family val="2"/>
          </rPr>
          <t xml:space="preserve"> Dernier jour de neutralisation pour l'année considérée</t>
        </r>
      </text>
    </comment>
    <comment ref="I45" authorId="0">
      <text>
        <r>
          <rPr>
            <b/>
            <sz val="8"/>
            <color indexed="16"/>
            <rFont val="Tahoma"/>
            <family val="2"/>
          </rPr>
          <t>Durée de la neutralisation "hiver"</t>
        </r>
      </text>
    </comment>
    <comment ref="K45" authorId="1">
      <text>
        <r>
          <rPr>
            <b/>
            <sz val="8"/>
            <color indexed="47"/>
            <rFont val="Tahoma"/>
            <family val="2"/>
          </rPr>
          <t>Durée de la neutralisation pour les dates "théoriques" d'enquête</t>
        </r>
      </text>
    </comment>
    <comment ref="D50" authorId="1">
      <text>
        <r>
          <rPr>
            <b/>
            <sz val="9"/>
            <color indexed="81"/>
            <rFont val="Tahoma"/>
            <family val="2"/>
          </rPr>
          <t>Date d'envoi par le CBE</t>
        </r>
      </text>
    </comment>
    <comment ref="I51" authorId="2">
      <text>
        <r>
          <rPr>
            <b/>
            <sz val="8"/>
            <color indexed="16"/>
            <rFont val="Tahoma"/>
            <family val="2"/>
          </rPr>
          <t xml:space="preserve"> 1er jour de neutralisation pour l'année considérée</t>
        </r>
      </text>
    </comment>
    <comment ref="J51" authorId="2">
      <text>
        <r>
          <rPr>
            <b/>
            <sz val="8"/>
            <color indexed="16"/>
            <rFont val="Tahoma"/>
            <family val="2"/>
          </rPr>
          <t xml:space="preserve"> Date théorique de début d'enquête</t>
        </r>
      </text>
    </comment>
    <comment ref="K51" authorId="0">
      <text>
        <r>
          <rPr>
            <b/>
            <sz val="8"/>
            <color indexed="81"/>
            <rFont val="Tahoma"/>
            <family val="2"/>
          </rPr>
          <t>Guy BOXHO</t>
        </r>
      </text>
    </comment>
    <comment ref="I52" authorId="2">
      <text>
        <r>
          <rPr>
            <b/>
            <sz val="8"/>
            <color indexed="16"/>
            <rFont val="Tahoma"/>
            <family val="2"/>
          </rPr>
          <t xml:space="preserve"> Dernier jour de neutralisation pour l'année considérée</t>
        </r>
      </text>
    </comment>
    <comment ref="J52" authorId="2">
      <text>
        <r>
          <rPr>
            <b/>
            <sz val="8"/>
            <color indexed="16"/>
            <rFont val="Tahoma"/>
            <family val="2"/>
          </rPr>
          <t xml:space="preserve"> Date théorique de fin d'enquête</t>
        </r>
      </text>
    </comment>
    <comment ref="I53" authorId="2">
      <text>
        <r>
          <rPr>
            <b/>
            <sz val="8"/>
            <color indexed="16"/>
            <rFont val="Tahoma"/>
            <family val="2"/>
          </rPr>
          <t xml:space="preserve"> Durée de la neutralisation "été"</t>
        </r>
      </text>
    </comment>
    <comment ref="J53" authorId="2">
      <text>
        <r>
          <rPr>
            <b/>
            <sz val="8"/>
            <color indexed="16"/>
            <rFont val="Tahoma"/>
            <family val="2"/>
          </rPr>
          <t xml:space="preserve"> Date de fin d'enquête adaptée à la neutralisation</t>
        </r>
      </text>
    </comment>
    <comment ref="K53" authorId="1">
      <text>
        <r>
          <rPr>
            <b/>
            <sz val="8"/>
            <color indexed="47"/>
            <rFont val="Tahoma"/>
            <family val="2"/>
          </rPr>
          <t>Durée de la neutralisation pour les dates "théoriques" d'enquête</t>
        </r>
      </text>
    </comment>
    <comment ref="A54" authorId="1">
      <text>
        <r>
          <rPr>
            <b/>
            <sz val="9"/>
            <color indexed="11"/>
            <rFont val="Tahoma"/>
            <family val="2"/>
          </rPr>
          <t>Il s'agit des dates qui servent pour la suite de la procédure.</t>
        </r>
      </text>
    </comment>
    <comment ref="I55" authorId="2">
      <text>
        <r>
          <rPr>
            <b/>
            <sz val="8"/>
            <color indexed="16"/>
            <rFont val="Tahoma"/>
            <family val="2"/>
          </rPr>
          <t xml:space="preserve"> 1er jour de neutralisation pour l'année considérée</t>
        </r>
      </text>
    </comment>
    <comment ref="J55" authorId="1">
      <text>
        <r>
          <rPr>
            <b/>
            <sz val="8"/>
            <color indexed="81"/>
            <rFont val="Tahoma"/>
            <family val="2"/>
          </rPr>
          <t>Guy Boxho</t>
        </r>
      </text>
    </comment>
    <comment ref="K55" authorId="0">
      <text>
        <r>
          <rPr>
            <b/>
            <sz val="8"/>
            <color indexed="81"/>
            <rFont val="Tahoma"/>
            <family val="2"/>
          </rPr>
          <t>Guy BOXHO</t>
        </r>
      </text>
    </comment>
    <comment ref="I56" authorId="2">
      <text>
        <r>
          <rPr>
            <b/>
            <sz val="8"/>
            <color indexed="16"/>
            <rFont val="Tahoma"/>
            <family val="2"/>
          </rPr>
          <t xml:space="preserve"> Dernier jour de neutralisation pour l'année considérée</t>
        </r>
      </text>
    </comment>
    <comment ref="I57" authorId="0">
      <text>
        <r>
          <rPr>
            <b/>
            <sz val="8"/>
            <color indexed="16"/>
            <rFont val="Tahoma"/>
            <family val="2"/>
          </rPr>
          <t>Durée de la neutralisation "hiver"</t>
        </r>
      </text>
    </comment>
    <comment ref="K57" authorId="1">
      <text>
        <r>
          <rPr>
            <b/>
            <sz val="8"/>
            <color indexed="47"/>
            <rFont val="Tahoma"/>
            <family val="2"/>
          </rPr>
          <t>Durée de la neutralisation pour les dates "théoriques" d'enquête</t>
        </r>
      </text>
    </comment>
  </commentList>
</comments>
</file>

<file path=xl/comments6.xml><?xml version="1.0" encoding="utf-8"?>
<comments xmlns="http://schemas.openxmlformats.org/spreadsheetml/2006/main">
  <authors>
    <author>Guy BOXHO</author>
  </authors>
  <commentList>
    <comment ref="A30" authorId="0">
      <text>
        <r>
          <rPr>
            <b/>
            <sz val="9"/>
            <color indexed="13"/>
            <rFont val="Comic Sans MS"/>
            <family val="4"/>
          </rPr>
          <t>Vous pouvez choisir le nombre de jours pour le déclenchement de l'alarme.</t>
        </r>
      </text>
    </comment>
  </commentList>
</comments>
</file>

<file path=xl/sharedStrings.xml><?xml version="1.0" encoding="utf-8"?>
<sst xmlns="http://schemas.openxmlformats.org/spreadsheetml/2006/main" count="2021" uniqueCount="1233">
  <si>
    <t>Références Syged :</t>
  </si>
  <si>
    <t>Commune de dépôt :</t>
  </si>
  <si>
    <t>Demandeur :</t>
  </si>
  <si>
    <t>Adresse du bien :</t>
  </si>
  <si>
    <t>Délais décret</t>
  </si>
  <si>
    <t>Localité :</t>
  </si>
  <si>
    <t>Complet 1ère</t>
  </si>
  <si>
    <t>Objet de la demande :</t>
  </si>
  <si>
    <t>Envoi compléments</t>
  </si>
  <si>
    <t>Complet 2ème</t>
  </si>
  <si>
    <t>Rapport cl 2</t>
  </si>
  <si>
    <t>Rapport synthèse</t>
  </si>
  <si>
    <t>AVIS</t>
  </si>
  <si>
    <t>Décision</t>
  </si>
  <si>
    <t>Avis 1</t>
  </si>
  <si>
    <t>Avis 2</t>
  </si>
  <si>
    <t>Avis 3</t>
  </si>
  <si>
    <t>Avis 4</t>
  </si>
  <si>
    <t>Avis 5</t>
  </si>
  <si>
    <t>Avis 6</t>
  </si>
  <si>
    <t>Avis 7</t>
  </si>
  <si>
    <t>Avis 8</t>
  </si>
  <si>
    <t>Avis 9</t>
  </si>
  <si>
    <t>Avis 10</t>
  </si>
  <si>
    <t>J</t>
  </si>
  <si>
    <t>J + 1</t>
  </si>
  <si>
    <t>J + 2</t>
  </si>
  <si>
    <t>Décision cl 2</t>
  </si>
  <si>
    <t>Jour</t>
  </si>
  <si>
    <t>Type dossier</t>
  </si>
  <si>
    <t>Envoi décision</t>
  </si>
  <si>
    <t>Intro DPA</t>
  </si>
  <si>
    <t>Essai</t>
  </si>
  <si>
    <t>Remise avis cl 2</t>
  </si>
  <si>
    <t>Délais selon décret (adaptés)</t>
  </si>
  <si>
    <t>Mobile</t>
  </si>
  <si>
    <t>Remise avis cl 1</t>
  </si>
  <si>
    <t>Délais effectifs</t>
  </si>
  <si>
    <t>Normal</t>
  </si>
  <si>
    <t>Enquête cl1</t>
  </si>
  <si>
    <t>Dates ultimes selon décret</t>
  </si>
  <si>
    <t>Temporaire</t>
  </si>
  <si>
    <t>Enquête cl2</t>
  </si>
  <si>
    <t>Fixe</t>
  </si>
  <si>
    <t>Dates adaptées</t>
  </si>
  <si>
    <t>Demande concertation cl2</t>
  </si>
  <si>
    <t>Lundi Pâques</t>
  </si>
  <si>
    <t>Jour de la semaine</t>
  </si>
  <si>
    <t>Demande concertation cl1</t>
  </si>
  <si>
    <t>Ascension</t>
  </si>
  <si>
    <t>Dates effectives</t>
  </si>
  <si>
    <t>Fin prévue</t>
  </si>
  <si>
    <t>Tenue concertation cl2</t>
  </si>
  <si>
    <t>Lundi Pentecôte</t>
  </si>
  <si>
    <t>Complet 1</t>
  </si>
  <si>
    <t>Tenue concertation cl1</t>
  </si>
  <si>
    <t>Complet 2</t>
  </si>
  <si>
    <t>Global</t>
  </si>
  <si>
    <t>Rapport</t>
  </si>
  <si>
    <t>Remise avis par instances</t>
  </si>
  <si>
    <t>Essai, temp</t>
  </si>
  <si>
    <t>PV enquête</t>
  </si>
  <si>
    <t>Prolongation</t>
  </si>
  <si>
    <t>Correction</t>
  </si>
  <si>
    <t>Notif décision</t>
  </si>
  <si>
    <t>Date</t>
  </si>
  <si>
    <t>Jours fériés</t>
  </si>
  <si>
    <t>Réunion de concertation</t>
  </si>
  <si>
    <t>Demande enquête publique</t>
  </si>
  <si>
    <t>Demande</t>
  </si>
  <si>
    <t>Réunion</t>
  </si>
  <si>
    <t>Réception</t>
  </si>
  <si>
    <t>Rappel</t>
  </si>
  <si>
    <t>Huissier</t>
  </si>
  <si>
    <t>Demandes d'avis</t>
  </si>
  <si>
    <t>Saisine instance</t>
  </si>
  <si>
    <t>Remise avis selon décret</t>
  </si>
  <si>
    <t>Date effective de l'avis</t>
  </si>
  <si>
    <t>Avis DGATLP ---&gt; DPA</t>
  </si>
  <si>
    <t>Rapport DPA ---&gt; DGATLP</t>
  </si>
  <si>
    <t>Rapport signé par FD ---&gt; DPA</t>
  </si>
  <si>
    <t>date brute</t>
  </si>
  <si>
    <t>Avis de la DGATLP communiqué à la DPA :</t>
  </si>
  <si>
    <t>(J-2-3)-5</t>
  </si>
  <si>
    <t>J - 1</t>
  </si>
  <si>
    <t>J - 2</t>
  </si>
  <si>
    <t>Rapport envoyé à la DGATLP par la DPA :</t>
  </si>
  <si>
    <t>(J-2)-3</t>
  </si>
  <si>
    <t>Retour à la DPA du rapport signé par le FD :</t>
  </si>
  <si>
    <t>J-2</t>
  </si>
  <si>
    <t>Lundi de Pâques</t>
  </si>
  <si>
    <t>Lundi de Pentecôte</t>
  </si>
  <si>
    <t>Alarme</t>
  </si>
  <si>
    <t>Retour rapport signé</t>
  </si>
  <si>
    <t>Rapport à la DGATLP</t>
  </si>
  <si>
    <t>J - 5</t>
  </si>
  <si>
    <t>Remise avis DGATLP</t>
  </si>
  <si>
    <t>J - 10</t>
  </si>
  <si>
    <t>ATTENTION ! Ce tableau doit impérativement être classé par ordre croissant de la colonne B !</t>
  </si>
  <si>
    <t>0111</t>
  </si>
  <si>
    <t>Culture de céréales et cultures industrielles</t>
  </si>
  <si>
    <t>0112</t>
  </si>
  <si>
    <t>Culture de légumes ; horticulture, pépinières</t>
  </si>
  <si>
    <t>0113</t>
  </si>
  <si>
    <t>Culture de fruits</t>
  </si>
  <si>
    <t>0121</t>
  </si>
  <si>
    <t>Elevage de bovins</t>
  </si>
  <si>
    <t>0122</t>
  </si>
  <si>
    <t>0123</t>
  </si>
  <si>
    <t>Elevage de porcins</t>
  </si>
  <si>
    <t>0124</t>
  </si>
  <si>
    <t>Elevage de volailles</t>
  </si>
  <si>
    <t>0125</t>
  </si>
  <si>
    <t>0130</t>
  </si>
  <si>
    <t>Culture et élevage associés</t>
  </si>
  <si>
    <t>0141</t>
  </si>
  <si>
    <t>Services annexes à la culture</t>
  </si>
  <si>
    <t>0142</t>
  </si>
  <si>
    <t>0150</t>
  </si>
  <si>
    <t>Chasse</t>
  </si>
  <si>
    <t>0201</t>
  </si>
  <si>
    <t>Sylviculture et exploitation forestière</t>
  </si>
  <si>
    <t>0202</t>
  </si>
  <si>
    <t>0501</t>
  </si>
  <si>
    <t>Pêche</t>
  </si>
  <si>
    <t>0502</t>
  </si>
  <si>
    <t>Pisciculture et aquaculture</t>
  </si>
  <si>
    <t>1010</t>
  </si>
  <si>
    <t>Extraction et agglomération de la houille</t>
  </si>
  <si>
    <t>1020</t>
  </si>
  <si>
    <t>Extraction et agglomération du lignite</t>
  </si>
  <si>
    <t>1030</t>
  </si>
  <si>
    <t>Extraction et agglomération de la tourbe</t>
  </si>
  <si>
    <t>1110</t>
  </si>
  <si>
    <t>Extraction de pétrole brut et de gaz naturel</t>
  </si>
  <si>
    <t>1120</t>
  </si>
  <si>
    <t>1200</t>
  </si>
  <si>
    <t>1310</t>
  </si>
  <si>
    <t>Extraction de minerais de fer</t>
  </si>
  <si>
    <t>1320</t>
  </si>
  <si>
    <t>Extraction de minerais de métaux non ferreux</t>
  </si>
  <si>
    <t>1411</t>
  </si>
  <si>
    <t>Extraction de pierres pour la construction</t>
  </si>
  <si>
    <t>1412</t>
  </si>
  <si>
    <t>Extraction de pierres à ciment, de pierres calcaires, de gypse et de craie</t>
  </si>
  <si>
    <t>1413</t>
  </si>
  <si>
    <t>1421</t>
  </si>
  <si>
    <t>Extraction de sable et de gravier</t>
  </si>
  <si>
    <t>1422</t>
  </si>
  <si>
    <t>1430</t>
  </si>
  <si>
    <t>1440</t>
  </si>
  <si>
    <t>Production de sel</t>
  </si>
  <si>
    <t>1450</t>
  </si>
  <si>
    <t>Autres activités extractives n.d.a.</t>
  </si>
  <si>
    <t>1511</t>
  </si>
  <si>
    <t>Production et transformation de viande</t>
  </si>
  <si>
    <t>1512</t>
  </si>
  <si>
    <t>Production et transformation de viande de volailles</t>
  </si>
  <si>
    <t>1513</t>
  </si>
  <si>
    <t>Production de produits à  base de viande et de conserves de viande</t>
  </si>
  <si>
    <t>1520</t>
  </si>
  <si>
    <t>Transformation et conservation de poisson et fabrication de produits à base de poisson</t>
  </si>
  <si>
    <t>1531</t>
  </si>
  <si>
    <t>Transformation et conservation de pommes de terre</t>
  </si>
  <si>
    <t>1532</t>
  </si>
  <si>
    <t>Préparation de jus de fruits et de légumes</t>
  </si>
  <si>
    <t>1533</t>
  </si>
  <si>
    <t>Transformation et conservation de fruits et légumes</t>
  </si>
  <si>
    <t>1541</t>
  </si>
  <si>
    <t>1542</t>
  </si>
  <si>
    <t>1543</t>
  </si>
  <si>
    <t>Fabrication de margarine</t>
  </si>
  <si>
    <t>1551</t>
  </si>
  <si>
    <t>Fabrication de produits laitiers</t>
  </si>
  <si>
    <t>1552</t>
  </si>
  <si>
    <t>Fabrication de glaces de consommation</t>
  </si>
  <si>
    <t>1561</t>
  </si>
  <si>
    <t>Meuneries</t>
  </si>
  <si>
    <t>1562</t>
  </si>
  <si>
    <t>Fabrication de produits amylacés</t>
  </si>
  <si>
    <t>1571</t>
  </si>
  <si>
    <t>1572</t>
  </si>
  <si>
    <t>1581</t>
  </si>
  <si>
    <t>Fabrication de pain et de pâtisserie fraîche</t>
  </si>
  <si>
    <t>1582</t>
  </si>
  <si>
    <t>Biscotterie et biscuiterie</t>
  </si>
  <si>
    <t>1583</t>
  </si>
  <si>
    <t>Fabrication de sucre</t>
  </si>
  <si>
    <t>1584</t>
  </si>
  <si>
    <t>Chocolaterie, confiserie</t>
  </si>
  <si>
    <t>1585</t>
  </si>
  <si>
    <t>Fabrication de pâtes alimentaires</t>
  </si>
  <si>
    <t>1586</t>
  </si>
  <si>
    <t>Transformation du thé et du café</t>
  </si>
  <si>
    <t>1587</t>
  </si>
  <si>
    <t>Fabrication de condiments, assaisonnements et sauces</t>
  </si>
  <si>
    <t>1588</t>
  </si>
  <si>
    <t>1589</t>
  </si>
  <si>
    <t>Industries alimentaires n.d.a.</t>
  </si>
  <si>
    <t>1591</t>
  </si>
  <si>
    <t>Production de boissons alcooliques distillées</t>
  </si>
  <si>
    <t>1592</t>
  </si>
  <si>
    <t>1593</t>
  </si>
  <si>
    <t>Production de vin</t>
  </si>
  <si>
    <t>1594</t>
  </si>
  <si>
    <t>1595</t>
  </si>
  <si>
    <t>1596</t>
  </si>
  <si>
    <t>Brasserie</t>
  </si>
  <si>
    <t>1597</t>
  </si>
  <si>
    <t>Malterie</t>
  </si>
  <si>
    <t>1598</t>
  </si>
  <si>
    <t>Industrie des eaux minérales et des boissons rafraîchissantes</t>
  </si>
  <si>
    <t>1600</t>
  </si>
  <si>
    <t>Industrie du tabac</t>
  </si>
  <si>
    <t>1711</t>
  </si>
  <si>
    <t>Préparation et filature de fibres de type cotonnier</t>
  </si>
  <si>
    <t>1712</t>
  </si>
  <si>
    <t>Préparation et filature de fibres de type lainier - cycle cardé</t>
  </si>
  <si>
    <t>1713</t>
  </si>
  <si>
    <t>Préparation et filature de fibres de type lainier - cycle peigné</t>
  </si>
  <si>
    <t>1714</t>
  </si>
  <si>
    <t>Préparation et filature de fibres de type linier</t>
  </si>
  <si>
    <t>1715</t>
  </si>
  <si>
    <t>Moulinage, préparation et filature de la soie et texturation des filaments synthétiques ou artificiels</t>
  </si>
  <si>
    <t>1716</t>
  </si>
  <si>
    <t>Fabrication de fils à coudre</t>
  </si>
  <si>
    <t>1717</t>
  </si>
  <si>
    <t>1721</t>
  </si>
  <si>
    <t>Tissage de type cotonnier</t>
  </si>
  <si>
    <t>1722</t>
  </si>
  <si>
    <t>Tissage de type lainier - cycle cardé</t>
  </si>
  <si>
    <t>1723</t>
  </si>
  <si>
    <t>Tissage de type lainier - cycle peigné</t>
  </si>
  <si>
    <t>1724</t>
  </si>
  <si>
    <t>Tissage de type soie</t>
  </si>
  <si>
    <t>1725</t>
  </si>
  <si>
    <t>1730</t>
  </si>
  <si>
    <t>Ennoblissement textile</t>
  </si>
  <si>
    <t>1740</t>
  </si>
  <si>
    <t>1751</t>
  </si>
  <si>
    <t>Fabrication de tapis et moquettes</t>
  </si>
  <si>
    <t>1752</t>
  </si>
  <si>
    <t>Ficellerie, corderie, fabrication de filets</t>
  </si>
  <si>
    <t>1753</t>
  </si>
  <si>
    <t>Fabrication de non-tissés</t>
  </si>
  <si>
    <t>1754</t>
  </si>
  <si>
    <t>Autres industries textiles n.d.a.</t>
  </si>
  <si>
    <t>1760</t>
  </si>
  <si>
    <t>1771</t>
  </si>
  <si>
    <t>1772</t>
  </si>
  <si>
    <t>Fabrication de pull-overs et articles similaires à mailles</t>
  </si>
  <si>
    <t>1810</t>
  </si>
  <si>
    <t>Fabrication de vêtements en cuir</t>
  </si>
  <si>
    <t>1821</t>
  </si>
  <si>
    <t>Fabrication de vêtements de travail</t>
  </si>
  <si>
    <t>1822</t>
  </si>
  <si>
    <t>Fabrication de vêtements de dessus</t>
  </si>
  <si>
    <t>1823</t>
  </si>
  <si>
    <t>Fabrication de vêtements de dessous</t>
  </si>
  <si>
    <t>1824</t>
  </si>
  <si>
    <t>1830</t>
  </si>
  <si>
    <t>Industrie des fourrures</t>
  </si>
  <si>
    <t>1910</t>
  </si>
  <si>
    <t>Apprêt et tannage des cuirs</t>
  </si>
  <si>
    <t>1920</t>
  </si>
  <si>
    <t>1930</t>
  </si>
  <si>
    <t>Fabrication de chaussures</t>
  </si>
  <si>
    <t>2010</t>
  </si>
  <si>
    <t>Sciage et rabotage du bois, imprégnation du bois</t>
  </si>
  <si>
    <t>2020</t>
  </si>
  <si>
    <t>Fabrication de panneaux de bois</t>
  </si>
  <si>
    <t>2030</t>
  </si>
  <si>
    <t>Fabrication de charpentes et de menuiseries</t>
  </si>
  <si>
    <t>2040</t>
  </si>
  <si>
    <t>2051</t>
  </si>
  <si>
    <t>2052</t>
  </si>
  <si>
    <t>2111</t>
  </si>
  <si>
    <t>Fabrication de pâte à papier</t>
  </si>
  <si>
    <t>2112</t>
  </si>
  <si>
    <t>Fabrication de papier et de carton</t>
  </si>
  <si>
    <t>2121</t>
  </si>
  <si>
    <t>2122</t>
  </si>
  <si>
    <t>2123</t>
  </si>
  <si>
    <t>2124</t>
  </si>
  <si>
    <t>Fabrication de papiers peints</t>
  </si>
  <si>
    <t>2125</t>
  </si>
  <si>
    <t>2211</t>
  </si>
  <si>
    <t>Edition de livres</t>
  </si>
  <si>
    <t>2212</t>
  </si>
  <si>
    <t>Edition de journaux</t>
  </si>
  <si>
    <t>2213</t>
  </si>
  <si>
    <t>Edition de revues et périodiques</t>
  </si>
  <si>
    <t>2214</t>
  </si>
  <si>
    <t>2215</t>
  </si>
  <si>
    <t>2221</t>
  </si>
  <si>
    <t>Imprimerie de journaux</t>
  </si>
  <si>
    <t>2222</t>
  </si>
  <si>
    <t>Autre imprimerie</t>
  </si>
  <si>
    <t>2223</t>
  </si>
  <si>
    <t>Reliure et finition</t>
  </si>
  <si>
    <t>2224</t>
  </si>
  <si>
    <t>Composition et photogravure</t>
  </si>
  <si>
    <t>2225</t>
  </si>
  <si>
    <t>2231</t>
  </si>
  <si>
    <t>2232</t>
  </si>
  <si>
    <t>2233</t>
  </si>
  <si>
    <t>2310</t>
  </si>
  <si>
    <t>Cokéfaction</t>
  </si>
  <si>
    <t>2320</t>
  </si>
  <si>
    <t>Raffinage de pétrole</t>
  </si>
  <si>
    <t>2330</t>
  </si>
  <si>
    <t>Traitement des combustibles nucléaires</t>
  </si>
  <si>
    <t>2411</t>
  </si>
  <si>
    <t>Fabrication de gaz industriels</t>
  </si>
  <si>
    <t>2412</t>
  </si>
  <si>
    <t>Fabrication de colorants et de pigments</t>
  </si>
  <si>
    <t>2413</t>
  </si>
  <si>
    <t>2414</t>
  </si>
  <si>
    <t>2415</t>
  </si>
  <si>
    <t>2416</t>
  </si>
  <si>
    <t>Fabrication de matières plastiques de base</t>
  </si>
  <si>
    <t>2417</t>
  </si>
  <si>
    <t>Fabrication de caoutchouc synthétique</t>
  </si>
  <si>
    <t>2420</t>
  </si>
  <si>
    <t>Fabrication de produits agrochimiques</t>
  </si>
  <si>
    <t>2430</t>
  </si>
  <si>
    <t>2441</t>
  </si>
  <si>
    <t>Fabrication de produits pharmaceutiques de base</t>
  </si>
  <si>
    <t>2442</t>
  </si>
  <si>
    <t>Fabrication de produits pharmaceutiques</t>
  </si>
  <si>
    <t>2451</t>
  </si>
  <si>
    <t>2452</t>
  </si>
  <si>
    <t>Fabrication de parfums et cosmétiques</t>
  </si>
  <si>
    <t>2461</t>
  </si>
  <si>
    <t>2462</t>
  </si>
  <si>
    <t>Fabrication de colles et gélatines</t>
  </si>
  <si>
    <t>2463</t>
  </si>
  <si>
    <t>2464</t>
  </si>
  <si>
    <t>Fabrication de produits chimiques pour la photographie</t>
  </si>
  <si>
    <t>2465</t>
  </si>
  <si>
    <t>Fabrication de supports de données</t>
  </si>
  <si>
    <t>2466</t>
  </si>
  <si>
    <t>Fabrication de produits chimiques divers</t>
  </si>
  <si>
    <t>2470</t>
  </si>
  <si>
    <t>Fabrication de fibres artificielles ou synthétiques</t>
  </si>
  <si>
    <t>2511</t>
  </si>
  <si>
    <t>Fabrication de pneumatiques et de chambres à air</t>
  </si>
  <si>
    <t>2512</t>
  </si>
  <si>
    <t>Rechapage de pneumatiques</t>
  </si>
  <si>
    <t>2513</t>
  </si>
  <si>
    <t>2521</t>
  </si>
  <si>
    <t>Fabrication de plaques, feuilles, tubes et profilés en matières plastiques</t>
  </si>
  <si>
    <t>2522</t>
  </si>
  <si>
    <t>2523</t>
  </si>
  <si>
    <t>2524</t>
  </si>
  <si>
    <t>2611</t>
  </si>
  <si>
    <t>Fabrication de verre plat</t>
  </si>
  <si>
    <t>2612</t>
  </si>
  <si>
    <t>Façonnage et transformation du verre plat</t>
  </si>
  <si>
    <t>2613</t>
  </si>
  <si>
    <t>Fabrication de verre creux</t>
  </si>
  <si>
    <t>2614</t>
  </si>
  <si>
    <t>Fabrication de fibres de verre</t>
  </si>
  <si>
    <t>2615</t>
  </si>
  <si>
    <t>2621</t>
  </si>
  <si>
    <t>Fabrication de produits céramiques à usage domestique et ornemental</t>
  </si>
  <si>
    <t>2622</t>
  </si>
  <si>
    <t>2623</t>
  </si>
  <si>
    <t>2624</t>
  </si>
  <si>
    <t>2625</t>
  </si>
  <si>
    <t>2626</t>
  </si>
  <si>
    <t>Fabrication de produits céramiques réfractaires</t>
  </si>
  <si>
    <t>2630</t>
  </si>
  <si>
    <t>Fabrication de carreaux en céramique</t>
  </si>
  <si>
    <t>2640</t>
  </si>
  <si>
    <t>Fabrication de tuiles, briques et autres produits en terre cuite pour la construction</t>
  </si>
  <si>
    <t>2651</t>
  </si>
  <si>
    <t>Fabrication de ciment</t>
  </si>
  <si>
    <t>2652</t>
  </si>
  <si>
    <t>Fabrication de chaux</t>
  </si>
  <si>
    <t>2653</t>
  </si>
  <si>
    <t>Fabrication de plâtre</t>
  </si>
  <si>
    <t>2661</t>
  </si>
  <si>
    <t>2662</t>
  </si>
  <si>
    <t>2663</t>
  </si>
  <si>
    <t>2664</t>
  </si>
  <si>
    <t>Fabrication de mortiers</t>
  </si>
  <si>
    <t>2665</t>
  </si>
  <si>
    <t>2666</t>
  </si>
  <si>
    <t>2670</t>
  </si>
  <si>
    <t>Travail de la pierre</t>
  </si>
  <si>
    <t>2681</t>
  </si>
  <si>
    <t>Fabrication de produits abrasifs</t>
  </si>
  <si>
    <t>2682</t>
  </si>
  <si>
    <t>Fabrication de produits minéraux non métalliques n.d.a.</t>
  </si>
  <si>
    <t>2710</t>
  </si>
  <si>
    <t>Sidérurgie et fabrication de ferroalliages (CECA)</t>
  </si>
  <si>
    <t>2721</t>
  </si>
  <si>
    <t>Fabrication de tubes en fonte</t>
  </si>
  <si>
    <t>2722</t>
  </si>
  <si>
    <t>Fabrication de tubes en acier</t>
  </si>
  <si>
    <t>2731</t>
  </si>
  <si>
    <t>Etirage à froid</t>
  </si>
  <si>
    <t>2732</t>
  </si>
  <si>
    <t>Laminage à froid de feuillards</t>
  </si>
  <si>
    <t>2733</t>
  </si>
  <si>
    <t>Profilage à froid par formage ou pliage</t>
  </si>
  <si>
    <t>2734</t>
  </si>
  <si>
    <t>Tréfilage</t>
  </si>
  <si>
    <t>2735</t>
  </si>
  <si>
    <t>Autres activités de première transformation ; fabrication de ferroalliages non CECA</t>
  </si>
  <si>
    <t>2741</t>
  </si>
  <si>
    <t>Production de métaux précieux</t>
  </si>
  <si>
    <t>2742</t>
  </si>
  <si>
    <t>2743</t>
  </si>
  <si>
    <t>2744</t>
  </si>
  <si>
    <t>Production de cuivre</t>
  </si>
  <si>
    <t>2745</t>
  </si>
  <si>
    <t>2751</t>
  </si>
  <si>
    <t>Fonderie de fonte</t>
  </si>
  <si>
    <t>2752</t>
  </si>
  <si>
    <t>2753</t>
  </si>
  <si>
    <t>Fonderie de métaux légers</t>
  </si>
  <si>
    <t>2754</t>
  </si>
  <si>
    <t>2811</t>
  </si>
  <si>
    <t>Fabrication de constructions métalliques</t>
  </si>
  <si>
    <t>2812</t>
  </si>
  <si>
    <t>Fabrication de charpentes en menuiseries métalliques</t>
  </si>
  <si>
    <t>2821</t>
  </si>
  <si>
    <t>Fabrication de réservoirs, citernes et conteneurs métalliques</t>
  </si>
  <si>
    <t>2822</t>
  </si>
  <si>
    <t>Fabrication de radiateurs et de chaudières pour le chauffage central</t>
  </si>
  <si>
    <t>2830</t>
  </si>
  <si>
    <t>Fabrication de générateurs de vapeur</t>
  </si>
  <si>
    <t>2840</t>
  </si>
  <si>
    <t>Forge ; emboutissage, estampage et profilage des métaux ; métallurgie des poudres</t>
  </si>
  <si>
    <t>2851</t>
  </si>
  <si>
    <t>Traitement et revêtement des métaux</t>
  </si>
  <si>
    <t>2852</t>
  </si>
  <si>
    <t>Mécanique générale</t>
  </si>
  <si>
    <t>2861</t>
  </si>
  <si>
    <t>Fabrication de coutellerie</t>
  </si>
  <si>
    <t>2862</t>
  </si>
  <si>
    <t>2863</t>
  </si>
  <si>
    <t>Fabrication de serrures</t>
  </si>
  <si>
    <t>2871</t>
  </si>
  <si>
    <t>Fabrication de fûts et emballages similaires en métaux</t>
  </si>
  <si>
    <t>2872</t>
  </si>
  <si>
    <t>2873</t>
  </si>
  <si>
    <t>2874</t>
  </si>
  <si>
    <t>Visserie et boulonnerie ; fabrication de chaînes et de ressorts</t>
  </si>
  <si>
    <t>2875</t>
  </si>
  <si>
    <t>2911</t>
  </si>
  <si>
    <t>2912</t>
  </si>
  <si>
    <t>Fabrication de pompes et compresseurs</t>
  </si>
  <si>
    <t>2913</t>
  </si>
  <si>
    <t>2914</t>
  </si>
  <si>
    <t>2921</t>
  </si>
  <si>
    <t>Fabrication de fours et brûleurs industriels, y compris les fours et brûleurs électriques</t>
  </si>
  <si>
    <t>2922</t>
  </si>
  <si>
    <t>Fabrication de matériel de levage et de manutention</t>
  </si>
  <si>
    <t>2923</t>
  </si>
  <si>
    <t>2924</t>
  </si>
  <si>
    <t>2931</t>
  </si>
  <si>
    <t>Fabrication de tracteurs agricoles</t>
  </si>
  <si>
    <t>2932</t>
  </si>
  <si>
    <t>2940</t>
  </si>
  <si>
    <t>Fabrication de machines-outils</t>
  </si>
  <si>
    <t>2951</t>
  </si>
  <si>
    <t>Fabrication de machines pour la métallurgie</t>
  </si>
  <si>
    <t>2952</t>
  </si>
  <si>
    <t>2953</t>
  </si>
  <si>
    <t>2954</t>
  </si>
  <si>
    <t>2955</t>
  </si>
  <si>
    <t>Fabrication de machines pour les industries du papier et du carton</t>
  </si>
  <si>
    <t>2956</t>
  </si>
  <si>
    <t>2960</t>
  </si>
  <si>
    <t>2971</t>
  </si>
  <si>
    <t>2972</t>
  </si>
  <si>
    <t>3001</t>
  </si>
  <si>
    <t>Fabrication de machines de bureau</t>
  </si>
  <si>
    <t>3002</t>
  </si>
  <si>
    <t>3110</t>
  </si>
  <si>
    <t>Fabrication de moteurs, génératrices et transformateurs électriques</t>
  </si>
  <si>
    <t>3120</t>
  </si>
  <si>
    <t>Fabrication de matériel de distribution et de commande électrique</t>
  </si>
  <si>
    <t>3130</t>
  </si>
  <si>
    <t>Fabrication de fils et câbles isolés</t>
  </si>
  <si>
    <t>3140</t>
  </si>
  <si>
    <t>3150</t>
  </si>
  <si>
    <t>3161</t>
  </si>
  <si>
    <t>Fabrication de matériels électriques pour moteurs et véhicules</t>
  </si>
  <si>
    <t>3162</t>
  </si>
  <si>
    <t>3210</t>
  </si>
  <si>
    <t>Fabrication de composants électroniques</t>
  </si>
  <si>
    <t>3220</t>
  </si>
  <si>
    <t>3230</t>
  </si>
  <si>
    <t>3310</t>
  </si>
  <si>
    <t>3320</t>
  </si>
  <si>
    <t>3330</t>
  </si>
  <si>
    <t>3340</t>
  </si>
  <si>
    <t>Fabrication de matériels optiques et photographiques</t>
  </si>
  <si>
    <t>3350</t>
  </si>
  <si>
    <t>Horlogerie</t>
  </si>
  <si>
    <t>3410</t>
  </si>
  <si>
    <t>Construction et assemblage de véhicules automobiles</t>
  </si>
  <si>
    <t>3420</t>
  </si>
  <si>
    <t>Fabrication de carrosseries, remorques et caravanes</t>
  </si>
  <si>
    <t>3430</t>
  </si>
  <si>
    <t>Fabrication de parties et accessoires pour les véhicules à moteur</t>
  </si>
  <si>
    <t>3511</t>
  </si>
  <si>
    <t>Construction et réparation de navires</t>
  </si>
  <si>
    <t>3512</t>
  </si>
  <si>
    <t>Construction et réparation de bateaux de plaisance et de sport</t>
  </si>
  <si>
    <t>3520</t>
  </si>
  <si>
    <t>Construction de matériel ferroviaire roulant</t>
  </si>
  <si>
    <t>3530</t>
  </si>
  <si>
    <t>Construction aéronautique et spatiale</t>
  </si>
  <si>
    <t>3541</t>
  </si>
  <si>
    <t>Fabrication de motocycles</t>
  </si>
  <si>
    <t>3542</t>
  </si>
  <si>
    <t>Fabrication de bicyclettes</t>
  </si>
  <si>
    <t>3543</t>
  </si>
  <si>
    <t>Fabrication de véhicules pour invalides</t>
  </si>
  <si>
    <t>3611</t>
  </si>
  <si>
    <t>Fabrication de chaises et de sièges</t>
  </si>
  <si>
    <t>3612</t>
  </si>
  <si>
    <t>Fabrication de meubles de bureaux et de magasins</t>
  </si>
  <si>
    <t>3613</t>
  </si>
  <si>
    <t>Fabrication de meubles de cuisine</t>
  </si>
  <si>
    <t>3614</t>
  </si>
  <si>
    <t>3621</t>
  </si>
  <si>
    <t>Fabrication de monnaies et médailles</t>
  </si>
  <si>
    <t>3622</t>
  </si>
  <si>
    <t>Travail des pierres précieuses et fabrication de bijoux</t>
  </si>
  <si>
    <t>3630</t>
  </si>
  <si>
    <t>3640</t>
  </si>
  <si>
    <t>3650</t>
  </si>
  <si>
    <t>Fabrication de jeux et jouets</t>
  </si>
  <si>
    <t>3661</t>
  </si>
  <si>
    <t>Bijouterie de fantaisie</t>
  </si>
  <si>
    <t>3662</t>
  </si>
  <si>
    <t>Industrie de la brosserie</t>
  </si>
  <si>
    <t>3663</t>
  </si>
  <si>
    <t>Autres activités manufacturières n.d.a.</t>
  </si>
  <si>
    <t>3710</t>
  </si>
  <si>
    <t>Récupération de matières métalliques recyclables</t>
  </si>
  <si>
    <t>3720</t>
  </si>
  <si>
    <t>Récupération de matières non métalliques recyclables</t>
  </si>
  <si>
    <t>3721</t>
  </si>
  <si>
    <t>Récupération du papier</t>
  </si>
  <si>
    <t>3722</t>
  </si>
  <si>
    <t>Récupération du textile</t>
  </si>
  <si>
    <t>3723</t>
  </si>
  <si>
    <t>Récupération des matières chimiques</t>
  </si>
  <si>
    <t>4010</t>
  </si>
  <si>
    <t>4020</t>
  </si>
  <si>
    <t>Production et distribution de gaz</t>
  </si>
  <si>
    <t>4030</t>
  </si>
  <si>
    <t>4100</t>
  </si>
  <si>
    <t>4512</t>
  </si>
  <si>
    <t>Forages et sondages</t>
  </si>
  <si>
    <t>4521</t>
  </si>
  <si>
    <t>4522</t>
  </si>
  <si>
    <t>Réalisation de charpentes et de couvertures</t>
  </si>
  <si>
    <t>4523</t>
  </si>
  <si>
    <t>4524</t>
  </si>
  <si>
    <t>Génie hydraulique</t>
  </si>
  <si>
    <t>4525</t>
  </si>
  <si>
    <t>Autres travaux de construction</t>
  </si>
  <si>
    <t>4531</t>
  </si>
  <si>
    <t>4532</t>
  </si>
  <si>
    <t>4533</t>
  </si>
  <si>
    <t>Plomberie</t>
  </si>
  <si>
    <t>4534</t>
  </si>
  <si>
    <t>4541</t>
  </si>
  <si>
    <t>Plâtrerie</t>
  </si>
  <si>
    <t>4543</t>
  </si>
  <si>
    <t>Revêtement des sols et des murs</t>
  </si>
  <si>
    <t>4544</t>
  </si>
  <si>
    <t>Peinture et vitrerie</t>
  </si>
  <si>
    <t>4545</t>
  </si>
  <si>
    <t>Autres travaux de finition</t>
  </si>
  <si>
    <t>4550</t>
  </si>
  <si>
    <t>Location avec opérateur de matériel de construction</t>
  </si>
  <si>
    <t>5010</t>
  </si>
  <si>
    <t>Commerce de véhicules automobiles</t>
  </si>
  <si>
    <t>5020</t>
  </si>
  <si>
    <t>Entretien et réparation de véhicules automobiles</t>
  </si>
  <si>
    <t>5030</t>
  </si>
  <si>
    <t>5040</t>
  </si>
  <si>
    <t>Commerce et réparation de motocycles</t>
  </si>
  <si>
    <t>5050</t>
  </si>
  <si>
    <t>Commerce de détail de carburants</t>
  </si>
  <si>
    <t>5111</t>
  </si>
  <si>
    <t>Intermédiaires du commerce en matières premières agricoles, animaux vivants, matières premières</t>
  </si>
  <si>
    <t>5112</t>
  </si>
  <si>
    <t>Intermédiaires du commerce en combustibles, minéraux, métaux et produits chimiques</t>
  </si>
  <si>
    <t>5113</t>
  </si>
  <si>
    <t>Intermédiaires du commerce en bois et matériaux de construction</t>
  </si>
  <si>
    <t>5114</t>
  </si>
  <si>
    <t>Intermédiaires du commerce en machines, équipements industriels et commerciaux, navires et avions</t>
  </si>
  <si>
    <t>5115</t>
  </si>
  <si>
    <t>Intermédiaires du commerce en meubles, articles de ménage et quincaillerie</t>
  </si>
  <si>
    <t>5116</t>
  </si>
  <si>
    <t>Intermédiaires du commerce en textiles, habillement, chaussures et articles en cuir</t>
  </si>
  <si>
    <t>5117</t>
  </si>
  <si>
    <t>Intermédiaires du commerce en denrées alimentaires et en tabac</t>
  </si>
  <si>
    <t>5118</t>
  </si>
  <si>
    <t>Autres intermédiaires spécialisés du commerce n.d.a.</t>
  </si>
  <si>
    <t>5119</t>
  </si>
  <si>
    <t>Intermédiaires non spécialisés du commerce</t>
  </si>
  <si>
    <t>5121</t>
  </si>
  <si>
    <t>Commerce de gros de céréales, semences et aliments pour animaux</t>
  </si>
  <si>
    <t>5122</t>
  </si>
  <si>
    <t>Commerce de gros de fleurs et plantes</t>
  </si>
  <si>
    <t>5123</t>
  </si>
  <si>
    <t>5124</t>
  </si>
  <si>
    <t>Commerce de gros de cuirs et de peaux</t>
  </si>
  <si>
    <t>5125</t>
  </si>
  <si>
    <t>Commerce de gros de tabac non manufacturé</t>
  </si>
  <si>
    <t>5131</t>
  </si>
  <si>
    <t>Commerce de gros de fruits et légumes</t>
  </si>
  <si>
    <t>5132</t>
  </si>
  <si>
    <t>Commerce de gros de viande et de produits à base de viande</t>
  </si>
  <si>
    <t>5133</t>
  </si>
  <si>
    <t>Commerce de gros de produits laitiers, œufs, huiles et graisses comestibles</t>
  </si>
  <si>
    <t>5134</t>
  </si>
  <si>
    <t>Commerce de gros de boissons</t>
  </si>
  <si>
    <t>5135</t>
  </si>
  <si>
    <t>Commerce de gros de tabac</t>
  </si>
  <si>
    <t>5136</t>
  </si>
  <si>
    <t>Commerce de gros de sucre, chocolat, confiserie</t>
  </si>
  <si>
    <t>5137</t>
  </si>
  <si>
    <t>Commerce de gros de café, thé, cacao, épices</t>
  </si>
  <si>
    <t>5138</t>
  </si>
  <si>
    <t>Autres commerces de gros alimentaires spécialisés</t>
  </si>
  <si>
    <t>5139</t>
  </si>
  <si>
    <t>Commerce de gros non spécialisé de denrées alimentaires, boissons et tabac</t>
  </si>
  <si>
    <t>5141</t>
  </si>
  <si>
    <t>Commerce de gros de textiles</t>
  </si>
  <si>
    <t>5142</t>
  </si>
  <si>
    <t>5143</t>
  </si>
  <si>
    <t>5144</t>
  </si>
  <si>
    <t>5145</t>
  </si>
  <si>
    <t>Commerce de gros de parfumerie et de produits de beauté</t>
  </si>
  <si>
    <t>5146</t>
  </si>
  <si>
    <t>Commerce de gros de produits pharmaceutiques</t>
  </si>
  <si>
    <t>5147</t>
  </si>
  <si>
    <t>Autres commerces de gros de biens de consommation</t>
  </si>
  <si>
    <t>5151</t>
  </si>
  <si>
    <t>Commerce de gros de combustibles</t>
  </si>
  <si>
    <t>5152</t>
  </si>
  <si>
    <t>Commerce de gros de métaux et minerais</t>
  </si>
  <si>
    <t>5153</t>
  </si>
  <si>
    <t>Commerce de gros de bois, peintures, vernis et matériaux de construction, y compris les appareils</t>
  </si>
  <si>
    <t>5154</t>
  </si>
  <si>
    <t>5155</t>
  </si>
  <si>
    <t>Commerce de gros de produits chimiques</t>
  </si>
  <si>
    <t>5156</t>
  </si>
  <si>
    <t>5157</t>
  </si>
  <si>
    <t>Commerce de gros de déchets et débris</t>
  </si>
  <si>
    <t>5161</t>
  </si>
  <si>
    <t>Commerce de gros de machines-outils</t>
  </si>
  <si>
    <t>5162</t>
  </si>
  <si>
    <t>5163</t>
  </si>
  <si>
    <t>5164</t>
  </si>
  <si>
    <t>Commerce de gros de machines et matériel de bureau</t>
  </si>
  <si>
    <t>5165</t>
  </si>
  <si>
    <t>5166</t>
  </si>
  <si>
    <t>Commerce de gros de machines, matériels et tracteurs agricoles</t>
  </si>
  <si>
    <t>5170</t>
  </si>
  <si>
    <t>Autres commerces de gros</t>
  </si>
  <si>
    <t>5211</t>
  </si>
  <si>
    <t>Commerce de détail en magasins non spécialisés à prédominance alimentaire</t>
  </si>
  <si>
    <t>5212</t>
  </si>
  <si>
    <t>Autres commerces de détail en magasins non spécialisés</t>
  </si>
  <si>
    <t>5221</t>
  </si>
  <si>
    <t>Commerce de détail de fruits et légumes</t>
  </si>
  <si>
    <t>5222</t>
  </si>
  <si>
    <t>Commerce de détail de viandes et produits à base de viande</t>
  </si>
  <si>
    <t>5223</t>
  </si>
  <si>
    <t>Commerce de détail de poissons</t>
  </si>
  <si>
    <t>5224</t>
  </si>
  <si>
    <t>Commerce de détail de pain, pâtisserie et confiserie</t>
  </si>
  <si>
    <t>5225</t>
  </si>
  <si>
    <t>Commerce de détail de boissons</t>
  </si>
  <si>
    <t>5226</t>
  </si>
  <si>
    <t>Commerce de détail de tabac</t>
  </si>
  <si>
    <t>5227</t>
  </si>
  <si>
    <t>Autres commerces de détail alimentaires en magasins spécialisés</t>
  </si>
  <si>
    <t>5231</t>
  </si>
  <si>
    <t>Pharmacies</t>
  </si>
  <si>
    <t>5232</t>
  </si>
  <si>
    <t>5233</t>
  </si>
  <si>
    <t>Commerce de détail de parfumerie et de produits de beauté</t>
  </si>
  <si>
    <t>5241</t>
  </si>
  <si>
    <t>Commerce de détail de textiles</t>
  </si>
  <si>
    <t>5242</t>
  </si>
  <si>
    <t>5243</t>
  </si>
  <si>
    <t>5244</t>
  </si>
  <si>
    <t>5245</t>
  </si>
  <si>
    <t>5246</t>
  </si>
  <si>
    <t>Commerce de détail de quincaillerie, de peintures, verre et articles en verre</t>
  </si>
  <si>
    <t>5247</t>
  </si>
  <si>
    <t>Commerce de détail de livres, journaux et papeterie</t>
  </si>
  <si>
    <t>5248</t>
  </si>
  <si>
    <t>Autres commerces de détail en magasins spécialisés</t>
  </si>
  <si>
    <t>5249</t>
  </si>
  <si>
    <t>Autres commerces de détail en magasins spécialisés (suite)</t>
  </si>
  <si>
    <t>5250</t>
  </si>
  <si>
    <t>5261</t>
  </si>
  <si>
    <t>Vente par correspondance</t>
  </si>
  <si>
    <t>5262</t>
  </si>
  <si>
    <t>Marchés et éventaires</t>
  </si>
  <si>
    <t>5263</t>
  </si>
  <si>
    <t>Autres commerces de détail hors magasins</t>
  </si>
  <si>
    <t>5271</t>
  </si>
  <si>
    <t>Réparation de chaussures et articles en cuir</t>
  </si>
  <si>
    <t>5272</t>
  </si>
  <si>
    <t>5273</t>
  </si>
  <si>
    <t>Réparation de montres, horloges et bijoux</t>
  </si>
  <si>
    <t>5274</t>
  </si>
  <si>
    <t>Autres réparations n.d.a.</t>
  </si>
  <si>
    <t>5511</t>
  </si>
  <si>
    <t>Hôtels et motels, avec restaurant</t>
  </si>
  <si>
    <t>5512</t>
  </si>
  <si>
    <t>Hôtels et motels, sans restaurant</t>
  </si>
  <si>
    <t>5521</t>
  </si>
  <si>
    <t>Auberges de jeunesse, refuges</t>
  </si>
  <si>
    <t>5523</t>
  </si>
  <si>
    <t>5530</t>
  </si>
  <si>
    <t>Restaurants</t>
  </si>
  <si>
    <t>5540</t>
  </si>
  <si>
    <t>Cafés</t>
  </si>
  <si>
    <t>5551</t>
  </si>
  <si>
    <t>Cantines</t>
  </si>
  <si>
    <t>5552</t>
  </si>
  <si>
    <t>Traiteurs</t>
  </si>
  <si>
    <t>6010</t>
  </si>
  <si>
    <t>Transports ferroviaires</t>
  </si>
  <si>
    <t>6021</t>
  </si>
  <si>
    <t>Transports réguliers de voyageurs</t>
  </si>
  <si>
    <t>6022</t>
  </si>
  <si>
    <t>Exploitation de taxis</t>
  </si>
  <si>
    <t>6023</t>
  </si>
  <si>
    <t>Autres transports terrestres de voyageurs</t>
  </si>
  <si>
    <t>6024</t>
  </si>
  <si>
    <t>Transports routiers de marchandises et déménagement</t>
  </si>
  <si>
    <t>6030</t>
  </si>
  <si>
    <t>Transports par conduites</t>
  </si>
  <si>
    <t>6110</t>
  </si>
  <si>
    <t>Transports maritimes et côtiers</t>
  </si>
  <si>
    <t>6120</t>
  </si>
  <si>
    <t>Transports fluviaux</t>
  </si>
  <si>
    <t>6210</t>
  </si>
  <si>
    <t>Transports aériens réguliers</t>
  </si>
  <si>
    <t>6220</t>
  </si>
  <si>
    <t>Transports aériens non réguliers</t>
  </si>
  <si>
    <t>6230</t>
  </si>
  <si>
    <t>Transports spatiaux</t>
  </si>
  <si>
    <t>6311</t>
  </si>
  <si>
    <t>Manutention</t>
  </si>
  <si>
    <t>6312</t>
  </si>
  <si>
    <t>Entreposage</t>
  </si>
  <si>
    <t>6321</t>
  </si>
  <si>
    <t>Services annexes des transports terrestres</t>
  </si>
  <si>
    <t>6322</t>
  </si>
  <si>
    <t>Services annexes des transports par eau</t>
  </si>
  <si>
    <t>6323</t>
  </si>
  <si>
    <t>Services annexes des transports aériens</t>
  </si>
  <si>
    <t>6330</t>
  </si>
  <si>
    <t>Agences de voyage et tour opérateurs</t>
  </si>
  <si>
    <t>6340</t>
  </si>
  <si>
    <t>Organisation du transport de fret</t>
  </si>
  <si>
    <t>6411</t>
  </si>
  <si>
    <t>Postes nationales</t>
  </si>
  <si>
    <t>6412</t>
  </si>
  <si>
    <t>Services de courrier</t>
  </si>
  <si>
    <t>6420</t>
  </si>
  <si>
    <t>Télécommunications</t>
  </si>
  <si>
    <t>6511</t>
  </si>
  <si>
    <t>Banques centrales</t>
  </si>
  <si>
    <t>6512</t>
  </si>
  <si>
    <t>Autres intermédiations monétaires</t>
  </si>
  <si>
    <t>6521</t>
  </si>
  <si>
    <t>Crédit-bail</t>
  </si>
  <si>
    <t>6522</t>
  </si>
  <si>
    <t>Crédit</t>
  </si>
  <si>
    <t>6523</t>
  </si>
  <si>
    <t>Autres intermédiations financières</t>
  </si>
  <si>
    <t>6601</t>
  </si>
  <si>
    <t>Assurances Vie</t>
  </si>
  <si>
    <t>6602</t>
  </si>
  <si>
    <t>Caisses de retraite</t>
  </si>
  <si>
    <t>6603</t>
  </si>
  <si>
    <t>Assurances Non Vie</t>
  </si>
  <si>
    <t>6711</t>
  </si>
  <si>
    <t>Administration de marchés financiers</t>
  </si>
  <si>
    <t>6712</t>
  </si>
  <si>
    <t>Gestion de portefeuilles et de fortunes, conseil en placements</t>
  </si>
  <si>
    <t>6713</t>
  </si>
  <si>
    <t>Autres auxiliaires financiers</t>
  </si>
  <si>
    <t>6720</t>
  </si>
  <si>
    <t>7011</t>
  </si>
  <si>
    <t>Promotion immobilière</t>
  </si>
  <si>
    <t>7012</t>
  </si>
  <si>
    <t>Marchands de biens immobiliers pour compte propre</t>
  </si>
  <si>
    <t>7020</t>
  </si>
  <si>
    <t>Location de biens immobiliers propres</t>
  </si>
  <si>
    <t>7031</t>
  </si>
  <si>
    <t>Agences immobilières</t>
  </si>
  <si>
    <t>7032</t>
  </si>
  <si>
    <t>7110</t>
  </si>
  <si>
    <t>Location de véhicules particuliers et de véhicules utilitaires légers (max. 3,5 t)</t>
  </si>
  <si>
    <t>7121</t>
  </si>
  <si>
    <t>7122</t>
  </si>
  <si>
    <t>Location de navires</t>
  </si>
  <si>
    <t>7123</t>
  </si>
  <si>
    <t>7131</t>
  </si>
  <si>
    <t>Location de matériel agricole</t>
  </si>
  <si>
    <t>7132</t>
  </si>
  <si>
    <t>Location de machines et équipements pour la construction</t>
  </si>
  <si>
    <t>7133</t>
  </si>
  <si>
    <t>Location de machines de bureau et de matériel informatique</t>
  </si>
  <si>
    <t>7134</t>
  </si>
  <si>
    <t>7140</t>
  </si>
  <si>
    <t>Location de biens personnels et domestiques</t>
  </si>
  <si>
    <t>7210</t>
  </si>
  <si>
    <t>Conseil en systèmes informatiques</t>
  </si>
  <si>
    <t>7220</t>
  </si>
  <si>
    <t>Réalisation de programmes et de logiciels</t>
  </si>
  <si>
    <t>7230</t>
  </si>
  <si>
    <t>Traitement de données</t>
  </si>
  <si>
    <t>7240</t>
  </si>
  <si>
    <t>Activités de banques de données</t>
  </si>
  <si>
    <t>7250</t>
  </si>
  <si>
    <t>Entretien et réparation de machines de bureau et de matériel informatique</t>
  </si>
  <si>
    <t>7260</t>
  </si>
  <si>
    <t>7310</t>
  </si>
  <si>
    <t>Recherche et développement en sciences physiques et naturelles</t>
  </si>
  <si>
    <t>7320</t>
  </si>
  <si>
    <t>Recherche et développement en sciences humaines et sociales</t>
  </si>
  <si>
    <t>7411</t>
  </si>
  <si>
    <t>Activités juridiques</t>
  </si>
  <si>
    <t>7412</t>
  </si>
  <si>
    <t>Activités comptables</t>
  </si>
  <si>
    <t>7413</t>
  </si>
  <si>
    <t>Etudes de marché et sondages</t>
  </si>
  <si>
    <t>7414</t>
  </si>
  <si>
    <t>Conseil pour les affaires et le management</t>
  </si>
  <si>
    <t>7415</t>
  </si>
  <si>
    <t>7420</t>
  </si>
  <si>
    <t>7430</t>
  </si>
  <si>
    <t>Essais et analyses techniques</t>
  </si>
  <si>
    <t>7440</t>
  </si>
  <si>
    <t>Publicité</t>
  </si>
  <si>
    <t>7450</t>
  </si>
  <si>
    <t>Sélection et fourniture de personnel</t>
  </si>
  <si>
    <t>7460</t>
  </si>
  <si>
    <t>Enquêtes et sécurité</t>
  </si>
  <si>
    <t>7470</t>
  </si>
  <si>
    <t>Nettoyage industriel</t>
  </si>
  <si>
    <t>7481</t>
  </si>
  <si>
    <t>Activités photographiques</t>
  </si>
  <si>
    <t>7483</t>
  </si>
  <si>
    <t>Secrétariat et traduction</t>
  </si>
  <si>
    <t>7484</t>
  </si>
  <si>
    <t>Autres services aux entreprises</t>
  </si>
  <si>
    <t>7511</t>
  </si>
  <si>
    <t>Administration publique générale</t>
  </si>
  <si>
    <t>7512</t>
  </si>
  <si>
    <t>7513</t>
  </si>
  <si>
    <t>7514</t>
  </si>
  <si>
    <t>Activités auxiliaires des administrations</t>
  </si>
  <si>
    <t>7521</t>
  </si>
  <si>
    <t>Affaires étrangères</t>
  </si>
  <si>
    <t>7522</t>
  </si>
  <si>
    <t>Défense</t>
  </si>
  <si>
    <t>7523</t>
  </si>
  <si>
    <t>Justice</t>
  </si>
  <si>
    <t>7524</t>
  </si>
  <si>
    <t>Sécurité publique</t>
  </si>
  <si>
    <t>7525</t>
  </si>
  <si>
    <t>Protection civile</t>
  </si>
  <si>
    <t>7530</t>
  </si>
  <si>
    <t>Sécurité sociale obligatoire</t>
  </si>
  <si>
    <t>8010</t>
  </si>
  <si>
    <t>8021</t>
  </si>
  <si>
    <t>Enseignement secondaire général</t>
  </si>
  <si>
    <t>8022</t>
  </si>
  <si>
    <t>Enseignement secondaire professionnel et technique</t>
  </si>
  <si>
    <t>8030</t>
  </si>
  <si>
    <t>Enseignement supérieur</t>
  </si>
  <si>
    <t>8041</t>
  </si>
  <si>
    <t>Auto-écoles et écoles de pilotage</t>
  </si>
  <si>
    <t>8042</t>
  </si>
  <si>
    <t>8511</t>
  </si>
  <si>
    <t>Activités hospitalières</t>
  </si>
  <si>
    <t>8512</t>
  </si>
  <si>
    <t>Pratique médicale</t>
  </si>
  <si>
    <t>8513</t>
  </si>
  <si>
    <t>Pratique dentaire</t>
  </si>
  <si>
    <t>8514</t>
  </si>
  <si>
    <t>Autres activités pour la santé humaine</t>
  </si>
  <si>
    <t>8520</t>
  </si>
  <si>
    <t>Activités vétérinaires</t>
  </si>
  <si>
    <t>8531</t>
  </si>
  <si>
    <t>8532</t>
  </si>
  <si>
    <t>9000</t>
  </si>
  <si>
    <t>Assainissement, voirie et gestion des déchets</t>
  </si>
  <si>
    <t>9111</t>
  </si>
  <si>
    <t>9112</t>
  </si>
  <si>
    <t>9120</t>
  </si>
  <si>
    <t>Activités de syndicats de salariés</t>
  </si>
  <si>
    <t>9131</t>
  </si>
  <si>
    <t>Organisations religieuses</t>
  </si>
  <si>
    <t>9132</t>
  </si>
  <si>
    <t>Organisations politiques</t>
  </si>
  <si>
    <t>9133</t>
  </si>
  <si>
    <t>Autres organisations associatives n.d.a.</t>
  </si>
  <si>
    <t>9211</t>
  </si>
  <si>
    <t>Production de films</t>
  </si>
  <si>
    <t>9212</t>
  </si>
  <si>
    <t>Distribution de films</t>
  </si>
  <si>
    <t>9213</t>
  </si>
  <si>
    <t>Projection de films</t>
  </si>
  <si>
    <t>9220</t>
  </si>
  <si>
    <t>Radio et télévision</t>
  </si>
  <si>
    <t>9231</t>
  </si>
  <si>
    <t>Art dramatique et musique</t>
  </si>
  <si>
    <t>9232</t>
  </si>
  <si>
    <t>Gestion de salles de spectacle</t>
  </si>
  <si>
    <t>9233</t>
  </si>
  <si>
    <t>9234</t>
  </si>
  <si>
    <t>9240</t>
  </si>
  <si>
    <t>Agences de presse</t>
  </si>
  <si>
    <t>9251</t>
  </si>
  <si>
    <t>Gestion des bibliothèques et archives publiques</t>
  </si>
  <si>
    <t>9252</t>
  </si>
  <si>
    <t>Gestion des musées et du patrimoine culturel</t>
  </si>
  <si>
    <t>9253</t>
  </si>
  <si>
    <t>Jardins botaniques, zoologiques et réserves naturelles</t>
  </si>
  <si>
    <t>9261</t>
  </si>
  <si>
    <t>9262</t>
  </si>
  <si>
    <t>Autres activités sportives</t>
  </si>
  <si>
    <t>9271</t>
  </si>
  <si>
    <t>Jeux de hasard</t>
  </si>
  <si>
    <t>9272</t>
  </si>
  <si>
    <t>Autres activités récréatives n.d.a.</t>
  </si>
  <si>
    <t>9301</t>
  </si>
  <si>
    <t>Blanchisseries industrielles et teintureries</t>
  </si>
  <si>
    <t>9302</t>
  </si>
  <si>
    <t>Coiffure et soins de beauté</t>
  </si>
  <si>
    <t>9303</t>
  </si>
  <si>
    <t>Services funéraires</t>
  </si>
  <si>
    <t>9304</t>
  </si>
  <si>
    <t>Entretien corporel</t>
  </si>
  <si>
    <t>9305</t>
  </si>
  <si>
    <t>Autres services personnels</t>
  </si>
  <si>
    <t>9500</t>
  </si>
  <si>
    <t>Services domestiques</t>
  </si>
  <si>
    <t>9900</t>
  </si>
  <si>
    <t>Organismes extraterritoriaux</t>
  </si>
  <si>
    <t>Rap &gt; date fin</t>
  </si>
  <si>
    <t>Rap &lt;= date fin</t>
  </si>
  <si>
    <t xml:space="preserve">Reçu le </t>
  </si>
  <si>
    <t>4511</t>
  </si>
  <si>
    <t>Démolition d'immeubles et terrassements</t>
  </si>
  <si>
    <t>Délai pour alarme réception avis :</t>
  </si>
  <si>
    <t>Administration</t>
  </si>
  <si>
    <t>Avis DNF Natura 2000</t>
  </si>
  <si>
    <t>Rapport cl 1</t>
  </si>
  <si>
    <t>Décision cl 1</t>
  </si>
  <si>
    <t>Avis 11</t>
  </si>
  <si>
    <t>Avis 12</t>
  </si>
  <si>
    <t>Dossier n° :</t>
  </si>
  <si>
    <t xml:space="preserve">Lettre + dossier le </t>
  </si>
  <si>
    <t>0129</t>
  </si>
  <si>
    <t>Exploitation agricole multiple</t>
  </si>
  <si>
    <t>Prolongation maximum</t>
  </si>
  <si>
    <t>Complet</t>
  </si>
  <si>
    <t>Réunion de concertation (demande)</t>
  </si>
  <si>
    <t>Réunion de concertation (tenue)</t>
  </si>
  <si>
    <t>Rapport de synthèse</t>
  </si>
  <si>
    <t>Décision cl 2 si rap &lt; 70</t>
  </si>
  <si>
    <t>Décision cl 1 si rap &lt; 110</t>
  </si>
  <si>
    <t>Avis DGATLP ---&gt; DPA (PM)</t>
  </si>
  <si>
    <t>Rapport DPA ---&gt; DGATLP (PM)</t>
  </si>
  <si>
    <t>Rapport signé par FD ---&gt; DPA (PM)</t>
  </si>
  <si>
    <t>Avis 13</t>
  </si>
  <si>
    <t>Avis 14</t>
  </si>
  <si>
    <t>Avis 15</t>
  </si>
  <si>
    <t>Avis 16</t>
  </si>
  <si>
    <t>Avis 17</t>
  </si>
  <si>
    <t>Avis 18</t>
  </si>
  <si>
    <t>Avis 19</t>
  </si>
  <si>
    <t>Avis 20</t>
  </si>
  <si>
    <t>Avis 21</t>
  </si>
  <si>
    <t>Avis 22</t>
  </si>
  <si>
    <t>Avis 23</t>
  </si>
  <si>
    <t>Avis 24</t>
  </si>
  <si>
    <t>Avis 25</t>
  </si>
  <si>
    <t>Avis 26</t>
  </si>
  <si>
    <t>Avis 27</t>
  </si>
  <si>
    <t>Avis 28</t>
  </si>
  <si>
    <t>Avis 29</t>
  </si>
  <si>
    <t>Avis 30</t>
  </si>
  <si>
    <t>Envoi rapport de synthèse</t>
  </si>
  <si>
    <t>Transmission PV enquête</t>
  </si>
  <si>
    <t>Modification de voirie</t>
  </si>
  <si>
    <t>Neutralisation enquête</t>
  </si>
  <si>
    <t>Été</t>
  </si>
  <si>
    <t>Noël</t>
  </si>
  <si>
    <t>Demande réunion concertation</t>
  </si>
  <si>
    <t>Tenue réunion concertation</t>
  </si>
  <si>
    <t>Demande de reconsidération</t>
  </si>
  <si>
    <t>EIE</t>
  </si>
  <si>
    <t>Demande reconsidération</t>
  </si>
  <si>
    <t>Envoi nouvelle décision</t>
  </si>
  <si>
    <t>Envoi demande reconsidération</t>
  </si>
  <si>
    <t>Envoi décision réformée</t>
  </si>
  <si>
    <t>Envoi de la demande d'EIE</t>
  </si>
  <si>
    <t>Réception décision réformée par AC</t>
  </si>
  <si>
    <t>1. EIE demandée</t>
  </si>
  <si>
    <t>Suspension des délais :</t>
  </si>
  <si>
    <t>Réception demande par FT</t>
  </si>
  <si>
    <t>Envoi décision réformée par FT (+ FD)</t>
  </si>
  <si>
    <t>2. Demande de reconsidération</t>
  </si>
  <si>
    <t>3. Délai respecté</t>
  </si>
  <si>
    <t>4. EIE non confirmée</t>
  </si>
  <si>
    <t>1. Délai recevabilité respecté</t>
  </si>
  <si>
    <t>Procédure :</t>
  </si>
  <si>
    <t>3. Demande de reconsidération tardive</t>
  </si>
  <si>
    <t>5. Délai réformation respecté</t>
  </si>
  <si>
    <t>Réception demandeur</t>
  </si>
  <si>
    <t>4. Délai réformation respecté</t>
  </si>
  <si>
    <t>Annonce de l'enquête</t>
  </si>
  <si>
    <t>Délai enquête après affichage</t>
  </si>
  <si>
    <t>Contrôles &amp; Drapeaux</t>
  </si>
  <si>
    <t>PE / PU</t>
  </si>
  <si>
    <t>Compléments demandés</t>
  </si>
  <si>
    <t>EIE demandée classe 2</t>
  </si>
  <si>
    <t>Classe</t>
  </si>
  <si>
    <t>Classe 2 avec EIE</t>
  </si>
  <si>
    <t>Enquête plusieurs communes</t>
  </si>
  <si>
    <t>Envoi rapport avant échéance</t>
  </si>
  <si>
    <t>Autorité = CBE</t>
  </si>
  <si>
    <t>1 = CBE ; 2 = FT (+ FD)</t>
  </si>
  <si>
    <t>Autorité = FT (+ FD)</t>
  </si>
  <si>
    <t>Dates ultimes théoriques</t>
  </si>
  <si>
    <t>Enquête</t>
  </si>
  <si>
    <t>Début enquête</t>
  </si>
  <si>
    <t>Fin d'enquête</t>
  </si>
  <si>
    <t>Plans modificatifs</t>
  </si>
  <si>
    <t>Code NACE</t>
  </si>
  <si>
    <t>Pâques</t>
  </si>
  <si>
    <t>Enquête publique</t>
  </si>
  <si>
    <t>Délais de mise à l'enquête</t>
  </si>
  <si>
    <t>NACE-BEL : 5050</t>
  </si>
  <si>
    <t>Assainissement</t>
  </si>
  <si>
    <t>Avis instances</t>
  </si>
  <si>
    <t>Demande concertation</t>
  </si>
  <si>
    <t>Tenue concertation</t>
  </si>
  <si>
    <t>Assainissement du sol</t>
  </si>
  <si>
    <t>1er jour</t>
  </si>
  <si>
    <t>Dernier jour</t>
  </si>
  <si>
    <t>Affichage</t>
  </si>
  <si>
    <t>Fin d'enquête Commune 1 (théorique)</t>
  </si>
  <si>
    <t>Fin d'enquête Commune 1 (adaptée)</t>
  </si>
  <si>
    <t>Fin d'enquête Commune 3 théorique</t>
  </si>
  <si>
    <t>Fin d'enquête Commune 4 théorique</t>
  </si>
  <si>
    <t>Fin d'enquête Commune 5 théorique</t>
  </si>
  <si>
    <t>Fin d'enquête Commune 2 théorique</t>
  </si>
  <si>
    <t>Fin d'enquête Commune 2 adaptée</t>
  </si>
  <si>
    <t>Fin d'enquête Commune 3 adaptée</t>
  </si>
  <si>
    <t>Fin d'enquête Commune 4 adaptée</t>
  </si>
  <si>
    <t>Fin d'enquête Commune 5 adaptée</t>
  </si>
  <si>
    <t>Fin d'enquête Commune 1 (date adaptée)</t>
  </si>
  <si>
    <t xml:space="preserve">Nombre de jours </t>
  </si>
  <si>
    <t xml:space="preserve">Début neutralisation </t>
  </si>
  <si>
    <t xml:space="preserve">Fin neutralisation </t>
  </si>
  <si>
    <t>Seveso ou Délais de classe 1</t>
  </si>
  <si>
    <t>Envoi compléments (mois)</t>
  </si>
  <si>
    <t>Type d'établissement</t>
  </si>
  <si>
    <t>Refus tacite / Décision tardive</t>
  </si>
  <si>
    <t>Refus tacite</t>
  </si>
  <si>
    <t>Décision tardive</t>
  </si>
  <si>
    <t>Recours recevable sur refus tacite</t>
  </si>
  <si>
    <t>Recours sur refus tacite</t>
  </si>
  <si>
    <t>Fin d'enquête Commune 1 (adapté SDJF)</t>
  </si>
  <si>
    <t>Fin d'enquête Commune 2 adaptée SDJF</t>
  </si>
  <si>
    <t>Fin d'enquête Commune 3 adaptée SDJF</t>
  </si>
  <si>
    <t>Fin d'enquête Commune 4 adaptée SDJF</t>
  </si>
  <si>
    <t>Fin d'enquête Commune 5 adaptée SDJF</t>
  </si>
  <si>
    <t>Fin d'enquête Commune 1 (SDJF)</t>
  </si>
  <si>
    <t>Elevage d'ovins, caprins et équidés</t>
  </si>
  <si>
    <t>Elevage d'autres animaux</t>
  </si>
  <si>
    <t>Services annexes à l'élevage</t>
  </si>
  <si>
    <t>Services annexes à la sylviculture et à l'exploitation forestière</t>
  </si>
  <si>
    <t>Services annexes à l'extraction de pétrole et de gaz</t>
  </si>
  <si>
    <t>Extraction de minerais d'uranium et de thorium</t>
  </si>
  <si>
    <t>Extraction d'ardoise</t>
  </si>
  <si>
    <t>Extraction d'argiles et de kaolin</t>
  </si>
  <si>
    <t>Extraction de minéraux pour l'industrie chimique et d'engrais naturels</t>
  </si>
  <si>
    <t>Production d'huiles et de graisses brutes</t>
  </si>
  <si>
    <t>Fabrication d'huiles et de graisses raffinées</t>
  </si>
  <si>
    <t>Fabrication d'aliments pour le bétail</t>
  </si>
  <si>
    <t>Fabrication d'aliments pour animaux de compagnie</t>
  </si>
  <si>
    <t>Fabrication de préparations homogénéisés et d'aliments diététiques</t>
  </si>
  <si>
    <t>Production d'alcool éthylique de fermentation</t>
  </si>
  <si>
    <t>Cidrerie et fabrication d'autres vins de fruits</t>
  </si>
  <si>
    <t>Production d'autres boissons fermentées</t>
  </si>
  <si>
    <t>Préparation et filature d'autres fibres</t>
  </si>
  <si>
    <t>Tissage d'autres textiles</t>
  </si>
  <si>
    <t>Fabrication d'articles confectionnés en textile, sauf habillement</t>
  </si>
  <si>
    <t>Fabrication d'étoffes à mailles</t>
  </si>
  <si>
    <t>Fabrication d'articles chaussants à mailles</t>
  </si>
  <si>
    <t>Fabrication d'autres vêtements et accessoires</t>
  </si>
  <si>
    <t>Fabrication d'articles de voyage et de maroquinerie</t>
  </si>
  <si>
    <t>Fabrication d'emballages en bois</t>
  </si>
  <si>
    <t>Fabrication d'objets divers en bois</t>
  </si>
  <si>
    <t>Fabrication d'objets en liège, vannerie ou sparterie</t>
  </si>
  <si>
    <t>Fabrication de carton ondulé et d'emballages en papier ou en carton</t>
  </si>
  <si>
    <t>Fabrication d'articles en papier à usage sanitaire ou domestique</t>
  </si>
  <si>
    <t>Fabrication d'articles de papeterie</t>
  </si>
  <si>
    <t>Fabrication d'autres articles en papier ou en carton</t>
  </si>
  <si>
    <t>Edition d'enregistrements sonores</t>
  </si>
  <si>
    <t>Autres activités d'édition</t>
  </si>
  <si>
    <t>Autres activités annexes à l'imprimerie</t>
  </si>
  <si>
    <t>Reproduction d'enregistrements sonores</t>
  </si>
  <si>
    <t>Reproduction d'enregistrements vidéo</t>
  </si>
  <si>
    <t>Reproduction d'enregistrements informatiques</t>
  </si>
  <si>
    <t>Fabrication d'autres produits chimiques inorganiques de base</t>
  </si>
  <si>
    <t>Fabrication d'autres produits chimiques organiques de base</t>
  </si>
  <si>
    <t>Fabrication d'engrais et de produits azotés</t>
  </si>
  <si>
    <t>Fabrication de peintures, vernis et encres d'imprimerie</t>
  </si>
  <si>
    <t>Fabrication de savons, de détergents et de produits d'entretien</t>
  </si>
  <si>
    <t>Fabrication d'explosifs</t>
  </si>
  <si>
    <t>Fabrication d'huiles essentielles</t>
  </si>
  <si>
    <t>Fabrication d'autres articles en caoutchouc</t>
  </si>
  <si>
    <t>Fabrication d'emballages en matières plastiques</t>
  </si>
  <si>
    <t>Fabrication d'éléments en matières plastiques pour la construction</t>
  </si>
  <si>
    <t>Fabrication d'autres articles en matières plastiques</t>
  </si>
  <si>
    <t>Fabrication et façonnage d'autres articles en verre</t>
  </si>
  <si>
    <t>Fabrication d'appareils sanitaires en céramique</t>
  </si>
  <si>
    <t>Fabrication d'isolateurs et pièces isolantes en céramique</t>
  </si>
  <si>
    <t>Fabrication d'autres produits céramiques à usage technique</t>
  </si>
  <si>
    <t>Fabrication d'autres produits céramiques, à l'exclusion de carreaux, tuiles et briques</t>
  </si>
  <si>
    <t>Fabrication d'éléments en béton pour la construction</t>
  </si>
  <si>
    <t>Fabrication d'éléments en plâtre pour la construction</t>
  </si>
  <si>
    <t>Fabrication de béton prêt à l'emploi</t>
  </si>
  <si>
    <t>Fabrication d'ouvrages en fibre-ciment</t>
  </si>
  <si>
    <t>Fabrication d'autres ouvrages en béton ou en plâtre</t>
  </si>
  <si>
    <t>Production d'aluminium</t>
  </si>
  <si>
    <t>Production de plomb, de zinc et d'étain</t>
  </si>
  <si>
    <t>Production d'autres métaux non ferreux</t>
  </si>
  <si>
    <t>Fonderie d'acier</t>
  </si>
  <si>
    <t>Fonderie d'autres métaux non ferreux</t>
  </si>
  <si>
    <t>Fabrication d'outillage</t>
  </si>
  <si>
    <t>Fabrication d'emballages légers en métal</t>
  </si>
  <si>
    <t>Fabrication d'articles en fils métalliques</t>
  </si>
  <si>
    <t>Fabrication d'autres ouvrages en métaux</t>
  </si>
  <si>
    <t>Fabrication de moteurs et turbines, à l'exclusion de moteurs pour avions et véhicules à moteur</t>
  </si>
  <si>
    <t>Fabrication d'articles de robinetterie</t>
  </si>
  <si>
    <t>Fabrication d'organes mécaniques de transmission</t>
  </si>
  <si>
    <t>Fabrication d'équipements aéronautiques et frigorifiques industriels</t>
  </si>
  <si>
    <t>Fabrication d'autres machines d'usage général</t>
  </si>
  <si>
    <t>Fabrication d'autres machines agricoles et forestières</t>
  </si>
  <si>
    <t>Fabrication de machines pour l'extraction ou la construction</t>
  </si>
  <si>
    <t>Fabrication de machines pour l'industrie agroalimentaire</t>
  </si>
  <si>
    <t>Fabrication de machines pour les industries du textile, de l'habillement et du cuir</t>
  </si>
  <si>
    <t>Fabrication d'autres machines d'usage spécifique</t>
  </si>
  <si>
    <t>Fabrication d'armes et de munitions</t>
  </si>
  <si>
    <t>Fabrication d'appareils électroménagers</t>
  </si>
  <si>
    <t>Fabrication d'appareils ménagers non électriques</t>
  </si>
  <si>
    <t>Fabrication d'ordinateurs et d'autres équipements informatiques</t>
  </si>
  <si>
    <t>Fabrication d'accumulateurs et de piles électriques</t>
  </si>
  <si>
    <t>Fabrication de lampes et d'appareils d'éclairage</t>
  </si>
  <si>
    <t>Fabrication d'autres matériels électriques</t>
  </si>
  <si>
    <t>Fabrication d'appareils d'émission et de transmission</t>
  </si>
  <si>
    <t>Fabrication d'appareils de réception, enregistrement ou reproduction du son et de l'image</t>
  </si>
  <si>
    <t>Fabrication d'instruments et d'appareils médico-chirurgicaux</t>
  </si>
  <si>
    <t>Fabrication d'instrumentation scientifique et technique</t>
  </si>
  <si>
    <t>Fabrication d'équipements de contrôle des processus industriels</t>
  </si>
  <si>
    <t>Fabrication d'autres meubles</t>
  </si>
  <si>
    <t>Fabrication d'instruments de musique</t>
  </si>
  <si>
    <t>Fabrication d'articles de sport</t>
  </si>
  <si>
    <t>Production et distribution d'électricité</t>
  </si>
  <si>
    <t>Distribution de vapeur et d'eau chaude ; production de glaces hydriques non destinées à la consommation</t>
  </si>
  <si>
    <t>Captage, épuration et distribution d'eau</t>
  </si>
  <si>
    <t>Travaux de construction y compris ouvrages d'art</t>
  </si>
  <si>
    <t>Construction de voies ferrées, chaussées, pistes d'aviation et installations sportives</t>
  </si>
  <si>
    <t>Travaux d'installation électrique</t>
  </si>
  <si>
    <t>Travaux d'isolation</t>
  </si>
  <si>
    <t>Autres travaux d'installation</t>
  </si>
  <si>
    <t>Commerce d'équipements automobiles</t>
  </si>
  <si>
    <t>Commerce de gros d'animaux vivants</t>
  </si>
  <si>
    <t>Commerce de gros d'habillement et de chaussures</t>
  </si>
  <si>
    <t>Commerce de gros d'appareils électroménagers, de radio et de télévision</t>
  </si>
  <si>
    <t>Commerce de gros de céramique et verrerie, de papiers peints et de produits d'entretien</t>
  </si>
  <si>
    <t>Commerce de gros d'équipements et fournitures de quincaillerie, plomberie et chauffage</t>
  </si>
  <si>
    <t>Commerce de gros d'autres produits intermédiaires</t>
  </si>
  <si>
    <t>Commerce de gros d'équipements pour la construction</t>
  </si>
  <si>
    <t>Commerce de gros de machines pour l'industrie textile et l'habillement, de machines à coudre et à tricoter</t>
  </si>
  <si>
    <t>Commerce de gros d'autres machines pour l'industrie et le commerce</t>
  </si>
  <si>
    <t>Commerce de détail d'articles médicaux et orthopédiques</t>
  </si>
  <si>
    <t>Commerce de détail d'habillement</t>
  </si>
  <si>
    <t>Commerce de détail de chaussures et d'articles en cuir</t>
  </si>
  <si>
    <t>Commerce de détail de meubles et d'équipements du foyer</t>
  </si>
  <si>
    <t>Commerce de détail d'appareils électroménagers, de radio et de télévision</t>
  </si>
  <si>
    <t>Commerce de détail de biens d'occasion et d'antiquités en magasins</t>
  </si>
  <si>
    <t>Réparation d'appareils électriques à usage domestique</t>
  </si>
  <si>
    <t>Moyens d'hébergement divers</t>
  </si>
  <si>
    <t>Auxiliaires d'assurance</t>
  </si>
  <si>
    <t>Administration d'immeubles</t>
  </si>
  <si>
    <t>Location d'autres matériels de transport terrestre</t>
  </si>
  <si>
    <t>Location d'avions</t>
  </si>
  <si>
    <t>Location d'autres machines et équipements</t>
  </si>
  <si>
    <t>Autres activités rattachées à l'informatique</t>
  </si>
  <si>
    <t>Activités de gestion et d'administration de holdings et de centres de coordination</t>
  </si>
  <si>
    <t>Activités d'architecture et d'ingénierie</t>
  </si>
  <si>
    <t>Activités d'organismes publics relatives aux soins de santé, à l'environnement, à l'enseignement, à la culture</t>
  </si>
  <si>
    <t>Activités d'organismes publics relatives aux matières économiques</t>
  </si>
  <si>
    <t>Enseignement primaire, y compris l'enseignement maternel</t>
  </si>
  <si>
    <t>Formation permanente et autres formes d'enseignement n.d.a.</t>
  </si>
  <si>
    <t>Activités d'action sociale avec hébergement</t>
  </si>
  <si>
    <t>Activités d'action sociale sans hébergement</t>
  </si>
  <si>
    <t>Activités d'organisations économiques et patronales</t>
  </si>
  <si>
    <t>Activités d'organisations professionnelles</t>
  </si>
  <si>
    <t>Fêtes foraines et parcs d'attractions</t>
  </si>
  <si>
    <t>Autres activités de spectacle et d'amusement n.d.a.</t>
  </si>
  <si>
    <t>Gestion d'installations sportives</t>
  </si>
</sst>
</file>

<file path=xl/styles.xml><?xml version="1.0" encoding="utf-8"?>
<styleSheet xmlns="http://schemas.openxmlformats.org/spreadsheetml/2006/main">
  <numFmts count="3">
    <numFmt numFmtId="164" formatCode="d\-mmm\-yy"/>
    <numFmt numFmtId="165" formatCode="dd/mm/yy"/>
    <numFmt numFmtId="166" formatCode="\O\U\I;;\N\O\N"/>
  </numFmts>
  <fonts count="60">
    <font>
      <sz val="10"/>
      <name val="Arial"/>
    </font>
    <font>
      <b/>
      <sz val="9"/>
      <name val="Comic Sans MS"/>
      <family val="4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9"/>
      <color indexed="16"/>
      <name val="Comic Sans MS"/>
      <family val="4"/>
    </font>
    <font>
      <sz val="9"/>
      <color indexed="16"/>
      <name val="Arial"/>
      <family val="2"/>
    </font>
    <font>
      <b/>
      <sz val="9"/>
      <name val="Arial Narrow"/>
      <family val="2"/>
    </font>
    <font>
      <b/>
      <sz val="10"/>
      <color indexed="18"/>
      <name val="Arial"/>
      <family val="2"/>
    </font>
    <font>
      <sz val="10"/>
      <name val="Arial"/>
      <family val="2"/>
    </font>
    <font>
      <sz val="10"/>
      <color indexed="16"/>
      <name val="Arial"/>
      <family val="2"/>
    </font>
    <font>
      <b/>
      <sz val="9"/>
      <color indexed="12"/>
      <name val="Comic Sans MS"/>
      <family val="4"/>
    </font>
    <font>
      <b/>
      <sz val="8"/>
      <name val="Arial Narrow"/>
      <family val="2"/>
    </font>
    <font>
      <b/>
      <sz val="9"/>
      <name val="Bookman Old Style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Tahoma"/>
      <family val="2"/>
    </font>
    <font>
      <b/>
      <sz val="9"/>
      <color indexed="9"/>
      <name val="Tahoma"/>
      <family val="2"/>
    </font>
    <font>
      <b/>
      <sz val="10"/>
      <name val="Trebuchet MS"/>
      <family val="2"/>
    </font>
    <font>
      <b/>
      <sz val="10"/>
      <color indexed="18"/>
      <name val="Trebuchet MS"/>
      <family val="2"/>
    </font>
    <font>
      <b/>
      <sz val="10"/>
      <color indexed="18"/>
      <name val="Comic Sans MS"/>
      <family val="4"/>
    </font>
    <font>
      <sz val="10"/>
      <name val="Comic Sans MS"/>
      <family val="4"/>
    </font>
    <font>
      <b/>
      <sz val="10"/>
      <name val="Arial"/>
      <family val="2"/>
    </font>
    <font>
      <b/>
      <sz val="10"/>
      <color indexed="32"/>
      <name val="Arial Narrow"/>
      <family val="2"/>
    </font>
    <font>
      <b/>
      <sz val="10"/>
      <color indexed="16"/>
      <name val="Comic Sans MS"/>
      <family val="4"/>
    </font>
    <font>
      <b/>
      <sz val="9"/>
      <color indexed="9"/>
      <name val="Arial"/>
      <family val="2"/>
    </font>
    <font>
      <b/>
      <sz val="9"/>
      <color indexed="11"/>
      <name val="Arial"/>
      <family val="2"/>
    </font>
    <font>
      <b/>
      <sz val="9"/>
      <color indexed="13"/>
      <name val="Arial"/>
      <family val="2"/>
    </font>
    <font>
      <b/>
      <sz val="9"/>
      <color indexed="13"/>
      <name val="Comic Sans MS"/>
      <family val="4"/>
    </font>
    <font>
      <sz val="10"/>
      <name val="Arial Narrow"/>
      <family val="2"/>
    </font>
    <font>
      <b/>
      <sz val="8"/>
      <color indexed="43"/>
      <name val="Tahoma"/>
      <family val="2"/>
    </font>
    <font>
      <sz val="8"/>
      <color indexed="43"/>
      <name val="Tahoma"/>
      <family val="2"/>
    </font>
    <font>
      <b/>
      <sz val="8"/>
      <color indexed="13"/>
      <name val="Tahoma"/>
      <family val="2"/>
    </font>
    <font>
      <b/>
      <sz val="8"/>
      <color indexed="9"/>
      <name val="Tahoma"/>
      <family val="2"/>
    </font>
    <font>
      <sz val="9"/>
      <name val="Arial Narrow"/>
      <family val="2"/>
    </font>
    <font>
      <b/>
      <sz val="10"/>
      <name val="Arial Narrow"/>
      <family val="2"/>
    </font>
    <font>
      <b/>
      <sz val="8"/>
      <color indexed="15"/>
      <name val="Tahoma"/>
      <family val="2"/>
    </font>
    <font>
      <b/>
      <sz val="8"/>
      <color indexed="15"/>
      <name val="Verdan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color indexed="51"/>
      <name val="Tahoma"/>
      <family val="2"/>
    </font>
    <font>
      <b/>
      <sz val="8"/>
      <color indexed="11"/>
      <name val="Tahoma"/>
      <family val="2"/>
    </font>
    <font>
      <b/>
      <sz val="10"/>
      <color indexed="18"/>
      <name val="Arial Narrow"/>
      <family val="2"/>
    </font>
    <font>
      <b/>
      <sz val="11"/>
      <name val="Arial"/>
      <family val="2"/>
    </font>
    <font>
      <b/>
      <sz val="8"/>
      <color indexed="41"/>
      <name val="Tahoma"/>
      <family val="2"/>
    </font>
    <font>
      <b/>
      <sz val="9"/>
      <color indexed="26"/>
      <name val="Tahoma"/>
      <family val="2"/>
    </font>
    <font>
      <sz val="10"/>
      <color indexed="18"/>
      <name val="Arial"/>
      <family val="2"/>
    </font>
    <font>
      <b/>
      <sz val="8"/>
      <color indexed="16"/>
      <name val="Tahoma"/>
      <family val="2"/>
    </font>
    <font>
      <b/>
      <sz val="9"/>
      <color indexed="13"/>
      <name val="Tahoma"/>
      <family val="2"/>
    </font>
    <font>
      <b/>
      <sz val="9"/>
      <color indexed="11"/>
      <name val="Tahoma"/>
      <family val="2"/>
    </font>
    <font>
      <b/>
      <sz val="10"/>
      <color indexed="13"/>
      <name val="Calibri"/>
      <family val="2"/>
    </font>
    <font>
      <sz val="10"/>
      <color indexed="62"/>
      <name val="Calibri"/>
      <family val="2"/>
    </font>
    <font>
      <sz val="10"/>
      <name val="Calibri"/>
      <family val="2"/>
    </font>
    <font>
      <b/>
      <sz val="10"/>
      <color indexed="11"/>
      <name val="Arial"/>
      <family val="2"/>
    </font>
    <font>
      <b/>
      <sz val="9"/>
      <name val="Arial"/>
      <family val="2"/>
    </font>
    <font>
      <b/>
      <sz val="10"/>
      <color indexed="10"/>
      <name val="Arial"/>
      <family val="2"/>
    </font>
    <font>
      <b/>
      <sz val="8"/>
      <color indexed="47"/>
      <name val="Tahoma"/>
      <family val="2"/>
    </font>
    <font>
      <b/>
      <sz val="10"/>
      <color indexed="16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79998168889431442"/>
        <bgColor indexed="64"/>
      </patternFill>
    </fill>
  </fills>
  <borders count="56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9"/>
      </left>
      <right/>
      <top/>
      <bottom/>
      <diagonal/>
    </border>
    <border>
      <left/>
      <right style="medium">
        <color indexed="9"/>
      </right>
      <top/>
      <bottom/>
      <diagonal/>
    </border>
    <border>
      <left style="medium">
        <color indexed="16"/>
      </left>
      <right/>
      <top/>
      <bottom/>
      <diagonal/>
    </border>
    <border>
      <left/>
      <right style="medium">
        <color indexed="16"/>
      </right>
      <top/>
      <bottom/>
      <diagonal/>
    </border>
    <border>
      <left style="medium">
        <color indexed="16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16"/>
      </right>
      <top style="thin">
        <color indexed="64"/>
      </top>
      <bottom style="thin">
        <color indexed="64"/>
      </bottom>
      <diagonal/>
    </border>
    <border>
      <left style="medium">
        <color indexed="9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16"/>
      </left>
      <right style="medium">
        <color indexed="16"/>
      </right>
      <top/>
      <bottom/>
      <diagonal/>
    </border>
    <border>
      <left style="medium">
        <color indexed="16"/>
      </left>
      <right style="medium">
        <color indexed="16"/>
      </right>
      <top style="thin">
        <color indexed="64"/>
      </top>
      <bottom style="thin">
        <color indexed="64"/>
      </bottom>
      <diagonal/>
    </border>
    <border>
      <left style="double">
        <color indexed="10"/>
      </left>
      <right style="dotted">
        <color indexed="64"/>
      </right>
      <top style="double">
        <color indexed="10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10"/>
      </top>
      <bottom style="dotted">
        <color indexed="64"/>
      </bottom>
      <diagonal/>
    </border>
    <border>
      <left style="dotted">
        <color indexed="64"/>
      </left>
      <right style="double">
        <color indexed="10"/>
      </right>
      <top style="double">
        <color indexed="10"/>
      </top>
      <bottom style="dotted">
        <color indexed="64"/>
      </bottom>
      <diagonal/>
    </border>
    <border>
      <left style="double">
        <color indexed="10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uble">
        <color indexed="10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0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7"/>
      </left>
      <right style="medium">
        <color indexed="57"/>
      </right>
      <top style="medium">
        <color indexed="57"/>
      </top>
      <bottom/>
      <diagonal/>
    </border>
    <border>
      <left style="medium">
        <color indexed="57"/>
      </left>
      <right style="medium">
        <color indexed="57"/>
      </right>
      <top/>
      <bottom style="thin">
        <color indexed="12"/>
      </bottom>
      <diagonal/>
    </border>
    <border>
      <left style="medium">
        <color indexed="57"/>
      </left>
      <right style="medium">
        <color indexed="57"/>
      </right>
      <top style="thin">
        <color indexed="12"/>
      </top>
      <bottom style="medium">
        <color indexed="57"/>
      </bottom>
      <diagonal/>
    </border>
    <border>
      <left style="medium">
        <color indexed="57"/>
      </left>
      <right style="medium">
        <color indexed="57"/>
      </right>
      <top style="medium">
        <color indexed="57"/>
      </top>
      <bottom style="medium">
        <color indexed="57"/>
      </bottom>
      <diagonal/>
    </border>
    <border>
      <left style="medium">
        <color indexed="57"/>
      </left>
      <right style="medium">
        <color indexed="57"/>
      </right>
      <top/>
      <bottom/>
      <diagonal/>
    </border>
    <border>
      <left style="medium">
        <color indexed="52"/>
      </left>
      <right/>
      <top style="medium">
        <color indexed="52"/>
      </top>
      <bottom style="medium">
        <color indexed="52"/>
      </bottom>
      <diagonal/>
    </border>
    <border>
      <left/>
      <right style="medium">
        <color indexed="52"/>
      </right>
      <top style="medium">
        <color indexed="52"/>
      </top>
      <bottom style="medium">
        <color indexed="5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16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16"/>
      </right>
      <top/>
      <bottom style="thin">
        <color indexed="64"/>
      </bottom>
      <diagonal/>
    </border>
    <border>
      <left/>
      <right style="medium">
        <color indexed="16"/>
      </right>
      <top style="thin">
        <color indexed="64"/>
      </top>
      <bottom/>
      <diagonal/>
    </border>
    <border>
      <left style="double">
        <color indexed="10"/>
      </left>
      <right style="dotted">
        <color indexed="64"/>
      </right>
      <top style="dotted">
        <color indexed="64"/>
      </top>
      <bottom style="double">
        <color indexed="10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uble">
        <color indexed="10"/>
      </bottom>
      <diagonal/>
    </border>
    <border>
      <left style="dotted">
        <color indexed="64"/>
      </left>
      <right style="double">
        <color indexed="10"/>
      </right>
      <top style="dotted">
        <color indexed="64"/>
      </top>
      <bottom style="double">
        <color indexed="10"/>
      </bottom>
      <diagonal/>
    </border>
    <border>
      <left/>
      <right/>
      <top style="medium">
        <color indexed="23"/>
      </top>
      <bottom/>
      <diagonal/>
    </border>
    <border>
      <left/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/>
      <bottom/>
      <diagonal/>
    </border>
    <border>
      <left/>
      <right style="medium">
        <color indexed="23"/>
      </right>
      <top/>
      <bottom/>
      <diagonal/>
    </border>
    <border>
      <left style="medium">
        <color indexed="23"/>
      </left>
      <right/>
      <top/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0"/>
      </left>
      <right/>
      <top style="medium">
        <color indexed="60"/>
      </top>
      <bottom style="medium">
        <color indexed="60"/>
      </bottom>
      <diagonal/>
    </border>
    <border>
      <left/>
      <right/>
      <top style="medium">
        <color indexed="60"/>
      </top>
      <bottom style="medium">
        <color indexed="60"/>
      </bottom>
      <diagonal/>
    </border>
    <border>
      <left/>
      <right style="medium">
        <color indexed="60"/>
      </right>
      <top style="medium">
        <color indexed="60"/>
      </top>
      <bottom style="medium">
        <color indexed="6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/>
  </cellStyleXfs>
  <cellXfs count="403">
    <xf numFmtId="0" fontId="0" fillId="0" borderId="0" xfId="0"/>
    <xf numFmtId="0" fontId="0" fillId="0" borderId="0" xfId="0" applyAlignment="1">
      <alignment vertical="center"/>
    </xf>
    <xf numFmtId="0" fontId="0" fillId="0" borderId="0" xfId="0" applyProtection="1"/>
    <xf numFmtId="0" fontId="1" fillId="0" borderId="0" xfId="0" applyFont="1" applyProtection="1">
      <protection locked="0"/>
    </xf>
    <xf numFmtId="0" fontId="2" fillId="0" borderId="0" xfId="0" applyFont="1" applyAlignment="1" applyProtection="1">
      <alignment vertical="center"/>
    </xf>
    <xf numFmtId="0" fontId="1" fillId="0" borderId="0" xfId="0" applyFont="1" applyProtection="1"/>
    <xf numFmtId="0" fontId="0" fillId="0" borderId="0" xfId="0" applyAlignment="1">
      <alignment horizontal="center"/>
    </xf>
    <xf numFmtId="0" fontId="5" fillId="0" borderId="0" xfId="0" applyFont="1" applyAlignment="1">
      <alignment vertical="center"/>
    </xf>
    <xf numFmtId="0" fontId="0" fillId="0" borderId="0" xfId="0" applyFill="1"/>
    <xf numFmtId="0" fontId="4" fillId="0" borderId="1" xfId="0" applyFont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0" fillId="0" borderId="0" xfId="0" applyAlignment="1" applyProtection="1">
      <alignment vertical="top"/>
    </xf>
    <xf numFmtId="165" fontId="0" fillId="0" borderId="0" xfId="0" applyNumberFormat="1"/>
    <xf numFmtId="165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 applyProtection="1">
      <alignment horizontal="right" vertical="center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/>
    </xf>
    <xf numFmtId="0" fontId="4" fillId="0" borderId="1" xfId="0" applyFont="1" applyFill="1" applyBorder="1" applyAlignment="1">
      <alignment horizontal="center"/>
    </xf>
    <xf numFmtId="14" fontId="6" fillId="3" borderId="0" xfId="0" applyNumberFormat="1" applyFont="1" applyFill="1" applyAlignment="1">
      <alignment horizontal="center" vertical="center"/>
    </xf>
    <xf numFmtId="0" fontId="0" fillId="0" borderId="0" xfId="0" applyNumberFormat="1"/>
    <xf numFmtId="0" fontId="0" fillId="0" borderId="1" xfId="0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64" fontId="0" fillId="0" borderId="0" xfId="0" applyNumberFormat="1"/>
    <xf numFmtId="0" fontId="3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vertical="center"/>
      <protection locked="0"/>
    </xf>
    <xf numFmtId="0" fontId="2" fillId="0" borderId="2" xfId="0" applyFont="1" applyBorder="1" applyAlignment="1" applyProtection="1">
      <alignment vertical="center"/>
    </xf>
    <xf numFmtId="0" fontId="9" fillId="4" borderId="2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1" fontId="9" fillId="4" borderId="2" xfId="0" applyNumberFormat="1" applyFont="1" applyFill="1" applyBorder="1" applyAlignment="1" applyProtection="1">
      <alignment horizontal="center" vertical="center"/>
    </xf>
    <xf numFmtId="0" fontId="2" fillId="0" borderId="2" xfId="0" applyFont="1" applyBorder="1" applyAlignment="1">
      <alignment vertical="center"/>
    </xf>
    <xf numFmtId="1" fontId="9" fillId="0" borderId="2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164" fontId="13" fillId="0" borderId="2" xfId="0" applyNumberFormat="1" applyFont="1" applyFill="1" applyBorder="1" applyAlignment="1">
      <alignment horizontal="center" vertical="center"/>
    </xf>
    <xf numFmtId="164" fontId="13" fillId="5" borderId="2" xfId="0" applyNumberFormat="1" applyFont="1" applyFill="1" applyBorder="1" applyAlignment="1">
      <alignment horizontal="center" vertical="center"/>
    </xf>
    <xf numFmtId="0" fontId="0" fillId="6" borderId="0" xfId="0" applyFill="1" applyAlignment="1">
      <alignment horizontal="right" vertical="center"/>
    </xf>
    <xf numFmtId="166" fontId="0" fillId="5" borderId="0" xfId="0" applyNumberFormat="1" applyFill="1" applyAlignment="1">
      <alignment horizontal="center"/>
    </xf>
    <xf numFmtId="0" fontId="0" fillId="6" borderId="0" xfId="0" applyFill="1" applyAlignment="1">
      <alignment horizontal="center" vertical="center"/>
    </xf>
    <xf numFmtId="164" fontId="2" fillId="4" borderId="2" xfId="0" applyNumberFormat="1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/>
    </xf>
    <xf numFmtId="1" fontId="0" fillId="0" borderId="0" xfId="0" applyNumberFormat="1"/>
    <xf numFmtId="0" fontId="2" fillId="4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164" fontId="3" fillId="7" borderId="2" xfId="0" applyNumberFormat="1" applyFont="1" applyFill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166" fontId="0" fillId="4" borderId="0" xfId="0" applyNumberFormat="1" applyFill="1" applyAlignment="1">
      <alignment horizontal="center" vertical="center"/>
    </xf>
    <xf numFmtId="166" fontId="0" fillId="4" borderId="0" xfId="0" applyNumberFormat="1" applyFill="1" applyAlignment="1">
      <alignment horizontal="center"/>
    </xf>
    <xf numFmtId="0" fontId="11" fillId="4" borderId="1" xfId="0" applyFont="1" applyFill="1" applyBorder="1" applyAlignment="1">
      <alignment horizontal="center" vertical="center"/>
    </xf>
    <xf numFmtId="1" fontId="9" fillId="7" borderId="2" xfId="0" applyNumberFormat="1" applyFont="1" applyFill="1" applyBorder="1" applyAlignment="1" applyProtection="1">
      <alignment horizontal="center" vertical="center"/>
      <protection locked="0"/>
    </xf>
    <xf numFmtId="1" fontId="9" fillId="0" borderId="2" xfId="0" applyNumberFormat="1" applyFont="1" applyBorder="1" applyAlignment="1" applyProtection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/>
    <xf numFmtId="164" fontId="2" fillId="6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14" fontId="0" fillId="0" borderId="0" xfId="0" applyNumberFormat="1"/>
    <xf numFmtId="0" fontId="2" fillId="0" borderId="0" xfId="0" applyFont="1" applyAlignment="1" applyProtection="1">
      <alignment horizontal="right" vertical="center"/>
    </xf>
    <xf numFmtId="166" fontId="0" fillId="5" borderId="0" xfId="0" applyNumberFormat="1" applyFill="1" applyAlignment="1">
      <alignment horizontal="center" vertical="center"/>
    </xf>
    <xf numFmtId="0" fontId="2" fillId="0" borderId="0" xfId="0" applyFont="1"/>
    <xf numFmtId="0" fontId="3" fillId="0" borderId="2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  <protection locked="0"/>
    </xf>
    <xf numFmtId="164" fontId="3" fillId="0" borderId="2" xfId="0" applyNumberFormat="1" applyFont="1" applyBorder="1" applyAlignment="1" applyProtection="1">
      <alignment horizontal="center" vertical="center"/>
      <protection locked="0"/>
    </xf>
    <xf numFmtId="164" fontId="4" fillId="0" borderId="0" xfId="0" applyNumberFormat="1" applyFont="1" applyFill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right" vertical="center"/>
    </xf>
    <xf numFmtId="0" fontId="23" fillId="0" borderId="0" xfId="0" applyFont="1" applyAlignment="1">
      <alignment vertical="center"/>
    </xf>
    <xf numFmtId="0" fontId="24" fillId="0" borderId="0" xfId="0" applyFont="1"/>
    <xf numFmtId="0" fontId="25" fillId="6" borderId="0" xfId="0" applyFont="1" applyFill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27" fillId="8" borderId="3" xfId="0" applyFont="1" applyFill="1" applyBorder="1" applyAlignment="1">
      <alignment horizontal="center" vertical="center"/>
    </xf>
    <xf numFmtId="0" fontId="27" fillId="8" borderId="0" xfId="0" applyFont="1" applyFill="1" applyAlignment="1">
      <alignment horizontal="center" vertical="center"/>
    </xf>
    <xf numFmtId="0" fontId="27" fillId="8" borderId="4" xfId="0" applyFont="1" applyFill="1" applyBorder="1" applyAlignment="1">
      <alignment horizontal="center" vertical="center"/>
    </xf>
    <xf numFmtId="16" fontId="2" fillId="0" borderId="0" xfId="0" applyNumberFormat="1" applyFont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166" fontId="2" fillId="9" borderId="7" xfId="0" applyNumberFormat="1" applyFont="1" applyFill="1" applyBorder="1" applyAlignment="1">
      <alignment horizontal="center" vertical="center"/>
    </xf>
    <xf numFmtId="166" fontId="2" fillId="9" borderId="8" xfId="0" applyNumberFormat="1" applyFont="1" applyFill="1" applyBorder="1" applyAlignment="1">
      <alignment horizontal="center" vertical="center"/>
    </xf>
    <xf numFmtId="166" fontId="2" fillId="9" borderId="9" xfId="0" applyNumberFormat="1" applyFont="1" applyFill="1" applyBorder="1" applyAlignment="1">
      <alignment horizontal="center" vertical="center"/>
    </xf>
    <xf numFmtId="166" fontId="28" fillId="10" borderId="10" xfId="0" applyNumberFormat="1" applyFont="1" applyFill="1" applyBorder="1" applyAlignment="1">
      <alignment horizontal="center" vertical="center"/>
    </xf>
    <xf numFmtId="166" fontId="28" fillId="10" borderId="8" xfId="0" applyNumberFormat="1" applyFont="1" applyFill="1" applyBorder="1" applyAlignment="1">
      <alignment horizontal="center" vertical="center"/>
    </xf>
    <xf numFmtId="166" fontId="28" fillId="10" borderId="1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Alignment="1" applyProtection="1">
      <alignment vertical="center"/>
    </xf>
    <xf numFmtId="0" fontId="0" fillId="0" borderId="1" xfId="0" applyBorder="1" applyAlignment="1" applyProtection="1">
      <alignment horizontal="center" vertical="center"/>
      <protection locked="0"/>
    </xf>
    <xf numFmtId="1" fontId="29" fillId="11" borderId="0" xfId="0" applyNumberFormat="1" applyFont="1" applyFill="1" applyAlignment="1">
      <alignment horizontal="center" vertical="center"/>
    </xf>
    <xf numFmtId="49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49" fontId="0" fillId="0" borderId="0" xfId="0" applyNumberFormat="1"/>
    <xf numFmtId="0" fontId="0" fillId="0" borderId="0" xfId="0" applyAlignment="1">
      <alignment vertical="center" wrapText="1"/>
    </xf>
    <xf numFmtId="0" fontId="10" fillId="0" borderId="0" xfId="0" applyFont="1" applyAlignment="1">
      <alignment vertical="center"/>
    </xf>
    <xf numFmtId="164" fontId="5" fillId="0" borderId="0" xfId="0" applyNumberFormat="1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</xf>
    <xf numFmtId="0" fontId="0" fillId="0" borderId="0" xfId="0" applyAlignment="1">
      <alignment vertical="top"/>
    </xf>
    <xf numFmtId="164" fontId="2" fillId="0" borderId="0" xfId="0" applyNumberFormat="1" applyFont="1" applyBorder="1" applyAlignment="1">
      <alignment horizontal="center" vertical="center"/>
    </xf>
    <xf numFmtId="166" fontId="2" fillId="0" borderId="0" xfId="0" applyNumberFormat="1" applyFont="1" applyFill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1" fillId="0" borderId="0" xfId="0" applyFont="1"/>
    <xf numFmtId="0" fontId="4" fillId="0" borderId="0" xfId="0" applyFont="1" applyAlignment="1">
      <alignment vertical="center"/>
    </xf>
    <xf numFmtId="164" fontId="2" fillId="0" borderId="0" xfId="0" applyNumberFormat="1" applyFont="1" applyFill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166" fontId="2" fillId="9" borderId="14" xfId="0" applyNumberFormat="1" applyFont="1" applyFill="1" applyBorder="1" applyAlignment="1">
      <alignment horizontal="center" vertical="center"/>
    </xf>
    <xf numFmtId="164" fontId="2" fillId="0" borderId="12" xfId="0" applyNumberFormat="1" applyFont="1" applyFill="1" applyBorder="1" applyAlignment="1">
      <alignment horizontal="center" vertical="center"/>
    </xf>
    <xf numFmtId="0" fontId="3" fillId="0" borderId="15" xfId="0" applyFont="1" applyBorder="1"/>
    <xf numFmtId="0" fontId="4" fillId="0" borderId="16" xfId="0" applyFont="1" applyBorder="1"/>
    <xf numFmtId="0" fontId="0" fillId="0" borderId="17" xfId="0" applyBorder="1" applyAlignment="1">
      <alignment vertical="center"/>
    </xf>
    <xf numFmtId="0" fontId="4" fillId="0" borderId="18" xfId="0" applyFont="1" applyBorder="1" applyAlignment="1">
      <alignment horizontal="left"/>
    </xf>
    <xf numFmtId="0" fontId="0" fillId="0" borderId="19" xfId="0" applyBorder="1" applyAlignment="1">
      <alignment vertical="center"/>
    </xf>
    <xf numFmtId="0" fontId="0" fillId="0" borderId="19" xfId="0" applyFill="1" applyBorder="1" applyAlignment="1">
      <alignment vertical="center"/>
    </xf>
    <xf numFmtId="0" fontId="0" fillId="0" borderId="18" xfId="0" applyFill="1" applyBorder="1" applyAlignment="1">
      <alignment horizontal="left" vertical="center"/>
    </xf>
    <xf numFmtId="0" fontId="0" fillId="0" borderId="19" xfId="0" applyFill="1" applyBorder="1" applyAlignment="1">
      <alignment horizontal="center" vertical="center"/>
    </xf>
    <xf numFmtId="14" fontId="0" fillId="0" borderId="18" xfId="0" applyNumberFormat="1" applyFill="1" applyBorder="1" applyAlignment="1">
      <alignment horizontal="left" vertical="center"/>
    </xf>
    <xf numFmtId="14" fontId="0" fillId="0" borderId="19" xfId="0" applyNumberFormat="1" applyFill="1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11" fillId="4" borderId="18" xfId="0" applyFont="1" applyFill="1" applyBorder="1" applyAlignment="1">
      <alignment horizontal="left" vertical="center"/>
    </xf>
    <xf numFmtId="0" fontId="11" fillId="4" borderId="19" xfId="0" applyFont="1" applyFill="1" applyBorder="1" applyAlignment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10" fillId="0" borderId="0" xfId="0" applyFont="1" applyAlignment="1">
      <alignment horizontal="right" vertical="center"/>
    </xf>
    <xf numFmtId="0" fontId="8" fillId="0" borderId="0" xfId="0" applyFont="1" applyAlignment="1" applyProtection="1">
      <alignment vertical="top" wrapText="1"/>
    </xf>
    <xf numFmtId="164" fontId="3" fillId="0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top" wrapText="1"/>
    </xf>
    <xf numFmtId="164" fontId="36" fillId="0" borderId="2" xfId="0" applyNumberFormat="1" applyFont="1" applyBorder="1" applyAlignment="1">
      <alignment horizontal="center" vertical="center"/>
    </xf>
    <xf numFmtId="0" fontId="0" fillId="0" borderId="0" xfId="0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10" fillId="0" borderId="0" xfId="0" applyFont="1" applyBorder="1" applyAlignment="1" applyProtection="1">
      <alignment vertical="center"/>
    </xf>
    <xf numFmtId="0" fontId="3" fillId="0" borderId="1" xfId="0" applyFont="1" applyBorder="1" applyAlignment="1">
      <alignment horizontal="center" vertical="center"/>
    </xf>
    <xf numFmtId="164" fontId="2" fillId="0" borderId="0" xfId="0" applyNumberFormat="1" applyFont="1" applyFill="1" applyBorder="1" applyAlignment="1" applyProtection="1">
      <alignment horizontal="center" vertical="center"/>
      <protection locked="0"/>
    </xf>
    <xf numFmtId="164" fontId="30" fillId="0" borderId="2" xfId="0" applyNumberFormat="1" applyFont="1" applyFill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164" fontId="5" fillId="7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vertical="center"/>
    </xf>
    <xf numFmtId="164" fontId="2" fillId="0" borderId="20" xfId="0" applyNumberFormat="1" applyFont="1" applyBorder="1" applyAlignment="1" applyProtection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" fillId="0" borderId="0" xfId="0" applyFont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0" fillId="0" borderId="0" xfId="0" applyBorder="1" applyAlignment="1">
      <alignment horizontal="center" vertical="center"/>
    </xf>
    <xf numFmtId="0" fontId="1" fillId="7" borderId="0" xfId="0" applyFont="1" applyFill="1" applyAlignment="1" applyProtection="1">
      <alignment vertical="center"/>
      <protection locked="0"/>
    </xf>
    <xf numFmtId="0" fontId="1" fillId="7" borderId="0" xfId="0" applyFont="1" applyFill="1" applyProtection="1">
      <protection locked="0"/>
    </xf>
    <xf numFmtId="0" fontId="1" fillId="7" borderId="0" xfId="0" applyFont="1" applyFill="1" applyAlignment="1" applyProtection="1">
      <alignment horizontal="center" vertical="center"/>
      <protection locked="0"/>
    </xf>
    <xf numFmtId="16" fontId="2" fillId="7" borderId="0" xfId="0" applyNumberFormat="1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1" fontId="9" fillId="0" borderId="2" xfId="0" applyNumberFormat="1" applyFont="1" applyFill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45" fillId="0" borderId="0" xfId="0" applyFont="1" applyAlignment="1">
      <alignment horizontal="centerContinuous" vertical="center"/>
    </xf>
    <xf numFmtId="14" fontId="6" fillId="3" borderId="0" xfId="0" applyNumberFormat="1" applyFon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166" fontId="0" fillId="5" borderId="0" xfId="0" applyNumberFormat="1" applyFill="1" applyBorder="1" applyAlignment="1">
      <alignment horizontal="center" vertical="center"/>
    </xf>
    <xf numFmtId="166" fontId="0" fillId="4" borderId="0" xfId="0" applyNumberFormat="1" applyFill="1" applyBorder="1" applyAlignment="1">
      <alignment horizontal="center" vertical="center"/>
    </xf>
    <xf numFmtId="0" fontId="0" fillId="0" borderId="0" xfId="0" applyBorder="1"/>
    <xf numFmtId="14" fontId="6" fillId="3" borderId="21" xfId="0" applyNumberFormat="1" applyFont="1" applyFill="1" applyBorder="1" applyAlignment="1">
      <alignment horizontal="center" vertical="center"/>
    </xf>
    <xf numFmtId="164" fontId="0" fillId="0" borderId="21" xfId="0" applyNumberForma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66" fontId="0" fillId="5" borderId="21" xfId="0" applyNumberFormat="1" applyFill="1" applyBorder="1" applyAlignment="1">
      <alignment horizontal="center" vertical="center"/>
    </xf>
    <xf numFmtId="166" fontId="0" fillId="4" borderId="21" xfId="0" applyNumberForma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164" fontId="0" fillId="0" borderId="21" xfId="0" applyNumberFormat="1" applyBorder="1" applyAlignment="1">
      <alignment horizontal="center" vertical="center"/>
    </xf>
    <xf numFmtId="15" fontId="0" fillId="0" borderId="0" xfId="0" applyNumberFormat="1" applyAlignment="1">
      <alignment horizontal="center" vertical="center"/>
    </xf>
    <xf numFmtId="164" fontId="3" fillId="0" borderId="22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wrapText="1"/>
    </xf>
    <xf numFmtId="0" fontId="25" fillId="6" borderId="5" xfId="0" applyFont="1" applyFill="1" applyBorder="1" applyAlignment="1">
      <alignment vertical="center"/>
    </xf>
    <xf numFmtId="0" fontId="0" fillId="0" borderId="5" xfId="0" applyBorder="1" applyAlignment="1">
      <alignment vertical="center"/>
    </xf>
    <xf numFmtId="14" fontId="6" fillId="3" borderId="5" xfId="0" applyNumberFormat="1" applyFont="1" applyFill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6" fontId="0" fillId="5" borderId="5" xfId="0" applyNumberFormat="1" applyFill="1" applyBorder="1" applyAlignment="1">
      <alignment horizontal="center"/>
    </xf>
    <xf numFmtId="166" fontId="0" fillId="4" borderId="5" xfId="0" applyNumberFormat="1" applyFill="1" applyBorder="1" applyAlignment="1">
      <alignment horizontal="center" vertical="center"/>
    </xf>
    <xf numFmtId="0" fontId="0" fillId="0" borderId="5" xfId="0" applyBorder="1"/>
    <xf numFmtId="0" fontId="0" fillId="0" borderId="0" xfId="0" applyFill="1" applyAlignment="1">
      <alignment horizontal="center"/>
    </xf>
    <xf numFmtId="0" fontId="25" fillId="6" borderId="6" xfId="0" applyFont="1" applyFill="1" applyBorder="1" applyAlignment="1">
      <alignment vertical="center"/>
    </xf>
    <xf numFmtId="0" fontId="0" fillId="0" borderId="6" xfId="0" applyBorder="1" applyAlignment="1">
      <alignment horizontal="center" vertical="center"/>
    </xf>
    <xf numFmtId="164" fontId="4" fillId="0" borderId="23" xfId="0" applyNumberFormat="1" applyFont="1" applyFill="1" applyBorder="1" applyAlignment="1" applyProtection="1">
      <alignment horizontal="right" vertical="center"/>
    </xf>
    <xf numFmtId="164" fontId="4" fillId="0" borderId="24" xfId="0" applyNumberFormat="1" applyFont="1" applyFill="1" applyBorder="1" applyAlignment="1" applyProtection="1">
      <alignment horizontal="left" vertical="center"/>
    </xf>
    <xf numFmtId="0" fontId="0" fillId="0" borderId="6" xfId="0" applyBorder="1"/>
    <xf numFmtId="0" fontId="2" fillId="0" borderId="6" xfId="0" applyFont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Border="1"/>
    <xf numFmtId="0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0" fillId="0" borderId="0" xfId="0" applyNumberFormat="1" applyAlignment="1">
      <alignment vertical="center"/>
    </xf>
    <xf numFmtId="0" fontId="9" fillId="0" borderId="0" xfId="0" applyFont="1" applyBorder="1" applyAlignment="1" applyProtection="1">
      <alignment horizontal="center" vertical="center" wrapText="1"/>
      <protection locked="0"/>
    </xf>
    <xf numFmtId="1" fontId="0" fillId="0" borderId="0" xfId="0" applyNumberFormat="1" applyBorder="1" applyAlignment="1">
      <alignment horizontal="center"/>
    </xf>
    <xf numFmtId="0" fontId="25" fillId="6" borderId="0" xfId="0" applyFont="1" applyFill="1" applyBorder="1" applyAlignment="1">
      <alignment vertical="center"/>
    </xf>
    <xf numFmtId="164" fontId="0" fillId="0" borderId="5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" fontId="0" fillId="0" borderId="0" xfId="0" applyNumberFormat="1" applyAlignment="1">
      <alignment horizontal="center"/>
    </xf>
    <xf numFmtId="1" fontId="1" fillId="0" borderId="0" xfId="0" applyNumberFormat="1" applyFont="1" applyAlignment="1" applyProtection="1">
      <alignment horizontal="center" vertical="center"/>
    </xf>
    <xf numFmtId="0" fontId="12" fillId="0" borderId="0" xfId="0" applyFont="1" applyAlignment="1" applyProtection="1">
      <alignment vertical="center"/>
    </xf>
    <xf numFmtId="0" fontId="11" fillId="12" borderId="18" xfId="0" applyFont="1" applyFill="1" applyBorder="1" applyAlignment="1">
      <alignment horizontal="left" vertical="center"/>
    </xf>
    <xf numFmtId="0" fontId="11" fillId="12" borderId="1" xfId="0" applyFont="1" applyFill="1" applyBorder="1" applyAlignment="1">
      <alignment horizontal="center" vertical="center"/>
    </xf>
    <xf numFmtId="0" fontId="11" fillId="12" borderId="19" xfId="0" applyFont="1" applyFill="1" applyBorder="1" applyAlignment="1">
      <alignment horizontal="center" vertical="center"/>
    </xf>
    <xf numFmtId="166" fontId="0" fillId="5" borderId="5" xfId="0" applyNumberForma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12" borderId="25" xfId="0" applyFill="1" applyBorder="1" applyAlignment="1">
      <alignment vertical="center"/>
    </xf>
    <xf numFmtId="0" fontId="0" fillId="12" borderId="26" xfId="0" applyFill="1" applyBorder="1" applyAlignment="1">
      <alignment vertical="center"/>
    </xf>
    <xf numFmtId="0" fontId="0" fillId="12" borderId="27" xfId="0" applyFill="1" applyBorder="1" applyAlignment="1">
      <alignment horizontal="right" vertical="center"/>
    </xf>
    <xf numFmtId="0" fontId="0" fillId="12" borderId="25" xfId="0" applyFill="1" applyBorder="1" applyAlignment="1">
      <alignment horizontal="center" vertical="center"/>
    </xf>
    <xf numFmtId="0" fontId="0" fillId="12" borderId="26" xfId="0" applyFill="1" applyBorder="1" applyAlignment="1">
      <alignment horizontal="center" vertical="center"/>
    </xf>
    <xf numFmtId="0" fontId="0" fillId="12" borderId="27" xfId="0" applyFill="1" applyBorder="1" applyAlignment="1">
      <alignment horizontal="center" vertical="center"/>
    </xf>
    <xf numFmtId="0" fontId="0" fillId="12" borderId="28" xfId="0" applyFill="1" applyBorder="1" applyAlignment="1">
      <alignment vertical="center"/>
    </xf>
    <xf numFmtId="0" fontId="0" fillId="12" borderId="29" xfId="0" applyFill="1" applyBorder="1" applyAlignment="1">
      <alignment vertical="center"/>
    </xf>
    <xf numFmtId="165" fontId="0" fillId="0" borderId="0" xfId="0" applyNumberFormat="1" applyAlignment="1">
      <alignment vertical="center"/>
    </xf>
    <xf numFmtId="0" fontId="0" fillId="12" borderId="29" xfId="0" applyFill="1" applyBorder="1" applyAlignment="1">
      <alignment horizontal="center" vertical="center"/>
    </xf>
    <xf numFmtId="166" fontId="0" fillId="12" borderId="25" xfId="0" applyNumberFormat="1" applyFill="1" applyBorder="1" applyAlignment="1">
      <alignment horizontal="center"/>
    </xf>
    <xf numFmtId="166" fontId="0" fillId="12" borderId="29" xfId="0" applyNumberFormat="1" applyFill="1" applyBorder="1" applyAlignment="1">
      <alignment horizontal="center"/>
    </xf>
    <xf numFmtId="166" fontId="0" fillId="12" borderId="26" xfId="0" applyNumberFormat="1" applyFill="1" applyBorder="1" applyAlignment="1">
      <alignment horizontal="center"/>
    </xf>
    <xf numFmtId="166" fontId="0" fillId="12" borderId="27" xfId="0" applyNumberFormat="1" applyFill="1" applyBorder="1" applyAlignment="1">
      <alignment horizontal="center"/>
    </xf>
    <xf numFmtId="166" fontId="0" fillId="12" borderId="28" xfId="0" applyNumberFormat="1" applyFill="1" applyBorder="1" applyAlignment="1">
      <alignment horizontal="center" vertical="center"/>
    </xf>
    <xf numFmtId="166" fontId="0" fillId="12" borderId="26" xfId="0" applyNumberFormat="1" applyFill="1" applyBorder="1" applyAlignment="1">
      <alignment horizontal="center" vertical="center"/>
    </xf>
    <xf numFmtId="166" fontId="0" fillId="12" borderId="27" xfId="0" applyNumberFormat="1" applyFill="1" applyBorder="1" applyAlignment="1">
      <alignment horizontal="center" vertical="center"/>
    </xf>
    <xf numFmtId="0" fontId="0" fillId="0" borderId="0" xfId="0" applyNumberFormat="1" applyAlignment="1">
      <alignment vertical="center"/>
    </xf>
    <xf numFmtId="0" fontId="0" fillId="12" borderId="28" xfId="0" applyFill="1" applyBorder="1" applyAlignment="1">
      <alignment horizontal="center" vertical="center"/>
    </xf>
    <xf numFmtId="0" fontId="4" fillId="0" borderId="0" xfId="0" applyNumberFormat="1" applyFont="1" applyFill="1" applyAlignment="1">
      <alignment vertical="center"/>
    </xf>
    <xf numFmtId="0" fontId="10" fillId="0" borderId="0" xfId="0" applyFont="1" applyAlignment="1" applyProtection="1">
      <alignment vertical="center"/>
    </xf>
    <xf numFmtId="164" fontId="10" fillId="12" borderId="30" xfId="0" applyNumberFormat="1" applyFont="1" applyFill="1" applyBorder="1" applyAlignment="1" applyProtection="1">
      <alignment horizontal="right" vertical="center"/>
    </xf>
    <xf numFmtId="164" fontId="10" fillId="12" borderId="31" xfId="0" applyNumberFormat="1" applyFont="1" applyFill="1" applyBorder="1" applyAlignment="1" applyProtection="1">
      <alignment horizontal="center" vertical="center"/>
    </xf>
    <xf numFmtId="164" fontId="13" fillId="0" borderId="2" xfId="0" applyNumberFormat="1" applyFont="1" applyFill="1" applyBorder="1" applyAlignment="1" applyProtection="1">
      <alignment horizontal="center" vertical="center"/>
    </xf>
    <xf numFmtId="164" fontId="13" fillId="5" borderId="2" xfId="0" applyNumberFormat="1" applyFont="1" applyFill="1" applyBorder="1" applyAlignment="1" applyProtection="1">
      <alignment horizontal="center" vertical="center"/>
    </xf>
    <xf numFmtId="164" fontId="2" fillId="4" borderId="2" xfId="0" applyNumberFormat="1" applyFont="1" applyFill="1" applyBorder="1" applyAlignment="1" applyProtection="1">
      <alignment horizontal="center" vertical="center"/>
    </xf>
    <xf numFmtId="0" fontId="2" fillId="4" borderId="2" xfId="0" applyNumberFormat="1" applyFont="1" applyFill="1" applyBorder="1" applyAlignment="1" applyProtection="1">
      <alignment horizontal="center" vertical="center"/>
    </xf>
    <xf numFmtId="164" fontId="2" fillId="0" borderId="12" xfId="0" applyNumberFormat="1" applyFont="1" applyFill="1" applyBorder="1" applyAlignment="1" applyProtection="1">
      <alignment horizontal="center" vertical="center"/>
    </xf>
    <xf numFmtId="0" fontId="10" fillId="12" borderId="32" xfId="0" applyNumberFormat="1" applyFont="1" applyFill="1" applyBorder="1" applyAlignment="1" applyProtection="1">
      <alignment horizontal="right" vertical="center"/>
    </xf>
    <xf numFmtId="0" fontId="10" fillId="12" borderId="33" xfId="0" applyFont="1" applyFill="1" applyBorder="1" applyAlignment="1" applyProtection="1">
      <alignment horizontal="left" vertical="center"/>
    </xf>
    <xf numFmtId="164" fontId="5" fillId="0" borderId="0" xfId="0" applyNumberFormat="1" applyFont="1" applyAlignment="1" applyProtection="1">
      <alignment horizontal="center" vertical="center"/>
    </xf>
    <xf numFmtId="0" fontId="53" fillId="6" borderId="1" xfId="0" applyFont="1" applyFill="1" applyBorder="1" applyAlignment="1" applyProtection="1">
      <alignment vertical="center"/>
    </xf>
    <xf numFmtId="0" fontId="53" fillId="6" borderId="1" xfId="0" applyFont="1" applyFill="1" applyBorder="1" applyAlignment="1">
      <alignment vertical="center"/>
    </xf>
    <xf numFmtId="0" fontId="54" fillId="0" borderId="0" xfId="0" applyFont="1" applyAlignment="1">
      <alignment vertical="center"/>
    </xf>
    <xf numFmtId="0" fontId="0" fillId="0" borderId="0" xfId="0" applyBorder="1" applyAlignment="1">
      <alignment horizontal="left" vertical="center"/>
    </xf>
    <xf numFmtId="0" fontId="54" fillId="0" borderId="1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8" xfId="0" applyFont="1" applyFill="1" applyBorder="1" applyAlignment="1">
      <alignment horizontal="left" vertical="center"/>
    </xf>
    <xf numFmtId="0" fontId="53" fillId="6" borderId="1" xfId="0" applyFont="1" applyFill="1" applyBorder="1" applyAlignment="1" applyProtection="1">
      <alignment vertical="center"/>
      <protection locked="0"/>
    </xf>
    <xf numFmtId="0" fontId="53" fillId="6" borderId="1" xfId="0" applyFont="1" applyFill="1" applyBorder="1" applyAlignment="1" applyProtection="1">
      <alignment horizontal="center" vertical="center"/>
      <protection locked="0"/>
    </xf>
    <xf numFmtId="0" fontId="54" fillId="0" borderId="1" xfId="0" applyFont="1" applyBorder="1" applyAlignment="1">
      <alignment horizontal="center" vertical="center"/>
    </xf>
    <xf numFmtId="1" fontId="53" fillId="13" borderId="0" xfId="0" applyNumberFormat="1" applyFont="1" applyFill="1" applyAlignment="1" applyProtection="1">
      <alignment horizontal="center" vertical="center"/>
      <protection locked="0"/>
    </xf>
    <xf numFmtId="164" fontId="55" fillId="14" borderId="0" xfId="0" applyNumberFormat="1" applyFont="1" applyFill="1" applyAlignment="1">
      <alignment horizontal="center" vertical="center"/>
    </xf>
    <xf numFmtId="164" fontId="0" fillId="0" borderId="0" xfId="0" applyNumberFormat="1" applyBorder="1" applyAlignment="1">
      <alignment horizontal="center"/>
    </xf>
    <xf numFmtId="0" fontId="54" fillId="0" borderId="1" xfId="0" applyFont="1" applyBorder="1" applyAlignment="1">
      <alignment vertical="center"/>
    </xf>
    <xf numFmtId="1" fontId="3" fillId="7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vertical="center"/>
    </xf>
    <xf numFmtId="0" fontId="0" fillId="0" borderId="0" xfId="0" applyFill="1" applyBorder="1"/>
    <xf numFmtId="0" fontId="1" fillId="0" borderId="0" xfId="0" applyFont="1" applyFill="1" applyBorder="1" applyProtection="1">
      <protection locked="0"/>
    </xf>
    <xf numFmtId="0" fontId="9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2" fillId="0" borderId="0" xfId="0" applyFont="1" applyFill="1" applyBorder="1" applyAlignment="1" applyProtection="1">
      <alignment vertical="center"/>
      <protection locked="0"/>
    </xf>
    <xf numFmtId="1" fontId="9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vertical="center"/>
    </xf>
    <xf numFmtId="164" fontId="36" fillId="0" borderId="0" xfId="0" applyNumberFormat="1" applyFont="1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0" fontId="57" fillId="0" borderId="0" xfId="0" applyFont="1" applyAlignment="1">
      <alignment vertical="center"/>
    </xf>
    <xf numFmtId="0" fontId="14" fillId="0" borderId="0" xfId="0" applyFont="1" applyFill="1" applyBorder="1" applyAlignment="1">
      <alignment horizontal="right" vertical="center" wrapText="1"/>
    </xf>
    <xf numFmtId="1" fontId="9" fillId="0" borderId="2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164" fontId="2" fillId="6" borderId="2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1" fillId="0" borderId="0" xfId="0" applyNumberFormat="1" applyFont="1" applyFill="1" applyBorder="1" applyAlignment="1">
      <alignment vertical="center"/>
    </xf>
    <xf numFmtId="166" fontId="0" fillId="5" borderId="6" xfId="0" applyNumberFormat="1" applyFill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16" fontId="0" fillId="0" borderId="0" xfId="0" applyNumberFormat="1" applyAlignment="1">
      <alignment horizontal="right" vertical="center"/>
    </xf>
    <xf numFmtId="14" fontId="6" fillId="3" borderId="6" xfId="0" applyNumberFormat="1" applyFont="1" applyFill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6" fontId="0" fillId="4" borderId="6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166" fontId="0" fillId="6" borderId="0" xfId="0" applyNumberFormat="1" applyFill="1" applyAlignment="1">
      <alignment horizontal="center" vertical="center"/>
    </xf>
    <xf numFmtId="0" fontId="0" fillId="6" borderId="0" xfId="0" applyFill="1"/>
    <xf numFmtId="0" fontId="0" fillId="6" borderId="0" xfId="0" applyFill="1" applyBorder="1"/>
    <xf numFmtId="0" fontId="5" fillId="6" borderId="21" xfId="0" applyFont="1" applyFill="1" applyBorder="1" applyAlignment="1">
      <alignment horizontal="left" vertical="center"/>
    </xf>
    <xf numFmtId="0" fontId="5" fillId="6" borderId="5" xfId="0" applyFont="1" applyFill="1" applyBorder="1" applyAlignment="1">
      <alignment horizontal="left" vertical="center"/>
    </xf>
    <xf numFmtId="164" fontId="0" fillId="0" borderId="5" xfId="0" applyNumberFormat="1" applyFill="1" applyBorder="1" applyAlignment="1">
      <alignment horizontal="center" vertical="center"/>
    </xf>
    <xf numFmtId="0" fontId="0" fillId="6" borderId="6" xfId="0" applyFill="1" applyBorder="1"/>
    <xf numFmtId="164" fontId="0" fillId="0" borderId="6" xfId="0" applyNumberFormat="1" applyFill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11" fillId="6" borderId="6" xfId="0" applyNumberFormat="1" applyFont="1" applyFill="1" applyBorder="1" applyAlignment="1">
      <alignment vertical="center"/>
    </xf>
    <xf numFmtId="166" fontId="0" fillId="5" borderId="6" xfId="0" applyNumberFormat="1" applyFill="1" applyBorder="1" applyAlignment="1">
      <alignment horizontal="center"/>
    </xf>
    <xf numFmtId="0" fontId="11" fillId="0" borderId="6" xfId="0" applyNumberFormat="1" applyFont="1" applyFill="1" applyBorder="1" applyAlignment="1">
      <alignment vertical="center"/>
    </xf>
    <xf numFmtId="166" fontId="0" fillId="6" borderId="6" xfId="0" applyNumberFormat="1" applyFill="1" applyBorder="1" applyAlignment="1">
      <alignment horizontal="center" vertical="center"/>
    </xf>
    <xf numFmtId="1" fontId="29" fillId="11" borderId="5" xfId="0" applyNumberFormat="1" applyFont="1" applyFill="1" applyBorder="1" applyAlignment="1">
      <alignment horizontal="center" vertical="center"/>
    </xf>
    <xf numFmtId="164" fontId="2" fillId="0" borderId="37" xfId="0" applyNumberFormat="1" applyFont="1" applyBorder="1" applyAlignment="1">
      <alignment horizontal="center" vertical="center"/>
    </xf>
    <xf numFmtId="0" fontId="0" fillId="15" borderId="0" xfId="0" applyFill="1" applyAlignment="1">
      <alignment horizontal="right" vertical="center"/>
    </xf>
    <xf numFmtId="0" fontId="27" fillId="3" borderId="5" xfId="0" applyFont="1" applyFill="1" applyBorder="1" applyAlignment="1">
      <alignment horizontal="center" vertical="center"/>
    </xf>
    <xf numFmtId="0" fontId="27" fillId="3" borderId="0" xfId="0" applyFont="1" applyFill="1" applyBorder="1" applyAlignment="1">
      <alignment horizontal="center" vertical="center"/>
    </xf>
    <xf numFmtId="0" fontId="27" fillId="3" borderId="6" xfId="0" applyFont="1" applyFill="1" applyBorder="1" applyAlignment="1">
      <alignment horizontal="center" vertical="center"/>
    </xf>
    <xf numFmtId="0" fontId="2" fillId="0" borderId="12" xfId="0" applyFont="1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4" fillId="5" borderId="18" xfId="0" applyFont="1" applyFill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0" fillId="5" borderId="18" xfId="0" applyFill="1" applyBorder="1" applyAlignment="1">
      <alignment vertical="center"/>
    </xf>
    <xf numFmtId="0" fontId="0" fillId="5" borderId="38" xfId="0" applyFill="1" applyBorder="1" applyAlignment="1">
      <alignment vertical="center"/>
    </xf>
    <xf numFmtId="0" fontId="0" fillId="5" borderId="39" xfId="0" applyFill="1" applyBorder="1" applyAlignment="1">
      <alignment horizontal="center" vertical="center"/>
    </xf>
    <xf numFmtId="0" fontId="0" fillId="5" borderId="40" xfId="0" applyFill="1" applyBorder="1" applyAlignment="1">
      <alignment horizontal="center" vertical="center"/>
    </xf>
    <xf numFmtId="0" fontId="5" fillId="16" borderId="2" xfId="0" applyFont="1" applyFill="1" applyBorder="1" applyAlignment="1">
      <alignment horizontal="right" vertical="center"/>
    </xf>
    <xf numFmtId="0" fontId="5" fillId="16" borderId="2" xfId="0" applyFont="1" applyFill="1" applyBorder="1" applyAlignment="1">
      <alignment horizontal="center" vertical="center"/>
    </xf>
    <xf numFmtId="2" fontId="0" fillId="0" borderId="0" xfId="0" applyNumberFormat="1"/>
    <xf numFmtId="0" fontId="0" fillId="17" borderId="0" xfId="0" applyFill="1" applyAlignment="1">
      <alignment horizontal="center" vertical="center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horizontal="center" vertical="center"/>
    </xf>
    <xf numFmtId="0" fontId="10" fillId="0" borderId="41" xfId="0" applyFont="1" applyBorder="1" applyAlignment="1">
      <alignment vertical="center"/>
    </xf>
    <xf numFmtId="0" fontId="0" fillId="0" borderId="41" xfId="0" applyBorder="1" applyAlignment="1">
      <alignment vertical="center"/>
    </xf>
    <xf numFmtId="0" fontId="10" fillId="0" borderId="41" xfId="0" applyFont="1" applyBorder="1" applyAlignment="1" applyProtection="1">
      <alignment vertical="center"/>
    </xf>
    <xf numFmtId="0" fontId="36" fillId="0" borderId="42" xfId="0" applyNumberFormat="1" applyFont="1" applyFill="1" applyBorder="1" applyAlignment="1" applyProtection="1">
      <alignment horizontal="center" vertical="center"/>
      <protection locked="0"/>
    </xf>
    <xf numFmtId="0" fontId="0" fillId="0" borderId="43" xfId="0" applyBorder="1" applyProtection="1">
      <protection locked="0"/>
    </xf>
    <xf numFmtId="0" fontId="0" fillId="0" borderId="44" xfId="0" applyBorder="1"/>
    <xf numFmtId="0" fontId="0" fillId="0" borderId="45" xfId="0" applyBorder="1" applyProtection="1">
      <protection locked="0"/>
    </xf>
    <xf numFmtId="0" fontId="10" fillId="0" borderId="46" xfId="0" applyFont="1" applyFill="1" applyBorder="1" applyAlignment="1">
      <alignment vertical="center"/>
    </xf>
    <xf numFmtId="0" fontId="44" fillId="0" borderId="46" xfId="0" applyFont="1" applyBorder="1" applyAlignment="1">
      <alignment vertical="center"/>
    </xf>
    <xf numFmtId="0" fontId="48" fillId="0" borderId="46" xfId="0" applyFont="1" applyBorder="1"/>
    <xf numFmtId="0" fontId="10" fillId="0" borderId="46" xfId="0" applyFont="1" applyBorder="1" applyAlignment="1" applyProtection="1">
      <alignment vertical="center"/>
    </xf>
    <xf numFmtId="0" fontId="0" fillId="0" borderId="47" xfId="0" applyBorder="1" applyAlignment="1"/>
    <xf numFmtId="0" fontId="5" fillId="16" borderId="48" xfId="0" applyFont="1" applyFill="1" applyBorder="1" applyAlignment="1">
      <alignment horizontal="left" vertical="center"/>
    </xf>
    <xf numFmtId="1" fontId="53" fillId="13" borderId="1" xfId="0" applyNumberFormat="1" applyFont="1" applyFill="1" applyBorder="1" applyAlignment="1" applyProtection="1">
      <alignment horizontal="center" vertical="center"/>
    </xf>
    <xf numFmtId="0" fontId="11" fillId="19" borderId="18" xfId="0" applyFont="1" applyFill="1" applyBorder="1" applyAlignment="1">
      <alignment horizontal="left" vertical="center"/>
    </xf>
    <xf numFmtId="0" fontId="0" fillId="19" borderId="1" xfId="0" applyFill="1" applyBorder="1" applyAlignment="1">
      <alignment horizontal="center" vertical="center"/>
    </xf>
    <xf numFmtId="0" fontId="0" fillId="19" borderId="19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vertical="top" wrapText="1"/>
    </xf>
    <xf numFmtId="0" fontId="5" fillId="16" borderId="23" xfId="0" applyFont="1" applyFill="1" applyBorder="1" applyAlignment="1">
      <alignment horizontal="center" vertical="center"/>
    </xf>
    <xf numFmtId="0" fontId="5" fillId="16" borderId="24" xfId="0" applyFont="1" applyFill="1" applyBorder="1" applyAlignment="1">
      <alignment horizontal="center" vertical="center"/>
    </xf>
    <xf numFmtId="0" fontId="37" fillId="7" borderId="0" xfId="0" applyFont="1" applyFill="1" applyAlignment="1" applyProtection="1">
      <alignment vertical="top" wrapText="1"/>
      <protection locked="0"/>
    </xf>
    <xf numFmtId="0" fontId="31" fillId="7" borderId="0" xfId="0" applyFont="1" applyFill="1" applyAlignment="1" applyProtection="1">
      <alignment vertical="top" wrapText="1"/>
      <protection locked="0"/>
    </xf>
    <xf numFmtId="0" fontId="0" fillId="0" borderId="0" xfId="0" applyBorder="1" applyAlignment="1">
      <alignment horizontal="center" vertical="center"/>
    </xf>
    <xf numFmtId="0" fontId="7" fillId="0" borderId="0" xfId="0" applyNumberFormat="1" applyFont="1" applyAlignment="1" applyProtection="1">
      <alignment vertical="top" wrapText="1"/>
    </xf>
    <xf numFmtId="0" fontId="2" fillId="0" borderId="0" xfId="0" applyFont="1" applyAlignment="1">
      <alignment vertical="top" wrapText="1"/>
    </xf>
    <xf numFmtId="0" fontId="5" fillId="16" borderId="8" xfId="0" applyFont="1" applyFill="1" applyBorder="1" applyAlignment="1">
      <alignment horizontal="center" vertical="center"/>
    </xf>
    <xf numFmtId="49" fontId="3" fillId="0" borderId="23" xfId="0" applyNumberFormat="1" applyFont="1" applyBorder="1" applyAlignment="1" applyProtection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23" xfId="0" applyFont="1" applyBorder="1" applyAlignment="1" applyProtection="1">
      <alignment horizontal="center" vertical="center" wrapText="1"/>
    </xf>
    <xf numFmtId="0" fontId="3" fillId="0" borderId="24" xfId="0" applyFont="1" applyBorder="1" applyAlignment="1" applyProtection="1">
      <alignment horizontal="center" vertical="center" wrapText="1"/>
    </xf>
    <xf numFmtId="0" fontId="0" fillId="0" borderId="0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5" fillId="0" borderId="12" xfId="0" applyFont="1" applyBorder="1" applyAlignment="1" applyProtection="1">
      <alignment horizontal="center" vertical="center"/>
    </xf>
    <xf numFmtId="0" fontId="0" fillId="0" borderId="12" xfId="0" applyBorder="1" applyAlignment="1">
      <alignment horizontal="center" vertical="center"/>
    </xf>
    <xf numFmtId="0" fontId="36" fillId="0" borderId="23" xfId="0" applyFont="1" applyBorder="1" applyAlignment="1" applyProtection="1">
      <alignment vertical="center"/>
      <protection locked="0"/>
    </xf>
    <xf numFmtId="0" fontId="36" fillId="0" borderId="24" xfId="0" applyFont="1" applyBorder="1" applyAlignment="1" applyProtection="1">
      <alignment vertical="center"/>
      <protection locked="0"/>
    </xf>
    <xf numFmtId="164" fontId="3" fillId="4" borderId="23" xfId="0" applyNumberFormat="1" applyFont="1" applyFill="1" applyBorder="1" applyAlignment="1">
      <alignment horizontal="center" vertical="center"/>
    </xf>
    <xf numFmtId="164" fontId="5" fillId="7" borderId="23" xfId="0" applyNumberFormat="1" applyFont="1" applyFill="1" applyBorder="1" applyAlignment="1" applyProtection="1">
      <alignment horizontal="center" vertical="center"/>
      <protection locked="0"/>
    </xf>
    <xf numFmtId="164" fontId="5" fillId="7" borderId="24" xfId="0" applyNumberFormat="1" applyFont="1" applyFill="1" applyBorder="1" applyAlignment="1" applyProtection="1">
      <alignment horizontal="center" vertical="center"/>
      <protection locked="0"/>
    </xf>
    <xf numFmtId="1" fontId="59" fillId="0" borderId="23" xfId="0" applyNumberFormat="1" applyFont="1" applyBorder="1" applyAlignment="1">
      <alignment horizontal="center" vertical="center"/>
    </xf>
    <xf numFmtId="1" fontId="59" fillId="0" borderId="24" xfId="0" applyNumberFormat="1" applyFont="1" applyBorder="1" applyAlignment="1">
      <alignment horizontal="center" vertical="center"/>
    </xf>
    <xf numFmtId="0" fontId="52" fillId="3" borderId="49" xfId="0" applyFont="1" applyFill="1" applyBorder="1" applyAlignment="1">
      <alignment horizontal="center" vertical="center"/>
    </xf>
    <xf numFmtId="0" fontId="0" fillId="0" borderId="50" xfId="0" applyBorder="1" applyAlignment="1">
      <alignment vertical="center"/>
    </xf>
    <xf numFmtId="0" fontId="15" fillId="12" borderId="23" xfId="0" applyFont="1" applyFill="1" applyBorder="1" applyAlignment="1" applyProtection="1">
      <alignment horizontal="center" vertical="center"/>
    </xf>
    <xf numFmtId="0" fontId="37" fillId="0" borderId="0" xfId="0" applyFont="1" applyAlignment="1" applyProtection="1">
      <alignment vertical="top" wrapText="1"/>
    </xf>
    <xf numFmtId="0" fontId="0" fillId="0" borderId="0" xfId="0" applyAlignment="1" applyProtection="1">
      <alignment vertical="top" wrapText="1"/>
    </xf>
    <xf numFmtId="0" fontId="10" fillId="12" borderId="51" xfId="0" applyFont="1" applyFill="1" applyBorder="1" applyAlignment="1" applyProtection="1">
      <alignment vertical="center"/>
    </xf>
    <xf numFmtId="0" fontId="10" fillId="12" borderId="52" xfId="0" applyFont="1" applyFill="1" applyBorder="1" applyAlignment="1" applyProtection="1">
      <alignment vertical="center"/>
    </xf>
    <xf numFmtId="0" fontId="10" fillId="12" borderId="53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5" fillId="0" borderId="54" xfId="0" applyFont="1" applyBorder="1" applyAlignment="1" applyProtection="1">
      <alignment horizontal="center" vertical="center"/>
    </xf>
    <xf numFmtId="0" fontId="5" fillId="0" borderId="55" xfId="0" applyFont="1" applyBorder="1" applyAlignment="1" applyProtection="1">
      <alignment horizontal="center" vertical="center"/>
    </xf>
    <xf numFmtId="0" fontId="56" fillId="16" borderId="23" xfId="0" applyFont="1" applyFill="1" applyBorder="1" applyAlignment="1">
      <alignment horizontal="center" vertical="center"/>
    </xf>
    <xf numFmtId="0" fontId="56" fillId="16" borderId="8" xfId="0" applyFont="1" applyFill="1" applyBorder="1" applyAlignment="1">
      <alignment horizontal="center" vertical="center"/>
    </xf>
    <xf numFmtId="0" fontId="56" fillId="16" borderId="24" xfId="0" applyFont="1" applyFill="1" applyBorder="1" applyAlignment="1">
      <alignment horizontal="center" vertical="center"/>
    </xf>
    <xf numFmtId="0" fontId="15" fillId="0" borderId="23" xfId="0" applyFont="1" applyBorder="1" applyAlignment="1" applyProtection="1">
      <alignment horizontal="center" vertical="center"/>
    </xf>
    <xf numFmtId="0" fontId="15" fillId="0" borderId="24" xfId="0" applyFont="1" applyBorder="1" applyAlignment="1" applyProtection="1">
      <alignment horizontal="center" vertical="center"/>
    </xf>
    <xf numFmtId="0" fontId="15" fillId="0" borderId="54" xfId="0" applyFont="1" applyBorder="1" applyAlignment="1" applyProtection="1">
      <alignment horizontal="center" vertical="center"/>
    </xf>
    <xf numFmtId="0" fontId="0" fillId="0" borderId="55" xfId="0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/>
    </xf>
    <xf numFmtId="0" fontId="0" fillId="0" borderId="23" xfId="0" applyBorder="1" applyAlignment="1">
      <alignment horizontal="center" vertical="center"/>
    </xf>
    <xf numFmtId="0" fontId="1" fillId="0" borderId="0" xfId="0" applyFont="1" applyAlignment="1" applyProtection="1">
      <alignment vertical="top" wrapText="1"/>
    </xf>
    <xf numFmtId="0" fontId="3" fillId="0" borderId="23" xfId="0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15" fillId="0" borderId="8" xfId="0" applyFont="1" applyBorder="1" applyAlignment="1" applyProtection="1">
      <alignment horizontal="center" vertical="center"/>
    </xf>
    <xf numFmtId="0" fontId="5" fillId="16" borderId="23" xfId="0" applyFont="1" applyFill="1" applyBorder="1" applyAlignment="1" applyProtection="1">
      <alignment horizontal="center" vertical="center" wrapText="1"/>
    </xf>
    <xf numFmtId="0" fontId="11" fillId="16" borderId="8" xfId="0" applyFont="1" applyFill="1" applyBorder="1" applyAlignment="1">
      <alignment horizontal="center" vertical="center" wrapText="1"/>
    </xf>
    <xf numFmtId="0" fontId="11" fillId="16" borderId="24" xfId="0" applyFont="1" applyFill="1" applyBorder="1" applyAlignment="1">
      <alignment horizontal="center" vertical="center" wrapText="1"/>
    </xf>
    <xf numFmtId="0" fontId="2" fillId="0" borderId="23" xfId="0" applyFont="1" applyBorder="1" applyAlignment="1" applyProtection="1">
      <alignment vertical="center"/>
      <protection locked="0"/>
    </xf>
    <xf numFmtId="0" fontId="0" fillId="0" borderId="24" xfId="0" applyBorder="1" applyAlignment="1" applyProtection="1">
      <alignment vertical="center"/>
      <protection locked="0"/>
    </xf>
    <xf numFmtId="164" fontId="22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0" fontId="6" fillId="18" borderId="0" xfId="0" applyFont="1" applyFill="1" applyAlignment="1">
      <alignment horizontal="center"/>
    </xf>
  </cellXfs>
  <cellStyles count="1">
    <cellStyle name="Normal" xfId="0" builtinId="0"/>
  </cellStyles>
  <dxfs count="170">
    <dxf>
      <font>
        <b/>
        <i val="0"/>
        <condense val="0"/>
        <extend val="0"/>
        <color indexed="9"/>
      </font>
      <fill>
        <patternFill>
          <bgColor indexed="57"/>
        </patternFill>
      </fill>
      <border>
        <left/>
        <right style="thin">
          <color indexed="51"/>
        </right>
        <top style="thin">
          <color indexed="51"/>
        </top>
        <bottom style="thin">
          <color indexed="51"/>
        </bottom>
      </border>
    </dxf>
    <dxf>
      <font>
        <b/>
        <i val="0"/>
        <condense val="0"/>
        <extend val="0"/>
        <color indexed="9"/>
      </font>
      <fill>
        <patternFill>
          <bgColor indexed="57"/>
        </patternFill>
      </fill>
      <border>
        <left/>
        <right/>
        <top style="thin">
          <color indexed="51"/>
        </top>
        <bottom style="thin">
          <color indexed="51"/>
        </bottom>
      </border>
    </dxf>
    <dxf>
      <font>
        <b/>
        <i val="0"/>
        <condense val="0"/>
        <extend val="0"/>
        <color indexed="9"/>
      </font>
      <fill>
        <patternFill patternType="solid">
          <bgColor indexed="57"/>
        </patternFill>
      </fill>
      <border>
        <left style="thin">
          <color indexed="51"/>
        </left>
        <right/>
        <top style="thin">
          <color indexed="51"/>
        </top>
        <bottom style="thin">
          <color indexed="51"/>
        </bottom>
      </border>
    </dxf>
    <dxf>
      <font>
        <b/>
        <i val="0"/>
        <condense val="0"/>
        <extend val="0"/>
        <color indexed="13"/>
      </font>
      <fill>
        <patternFill>
          <bgColor indexed="62"/>
        </patternFill>
      </fill>
    </dxf>
    <dxf>
      <font>
        <b/>
        <i val="0"/>
        <condense val="0"/>
        <extend val="0"/>
        <color indexed="13"/>
      </font>
      <fill>
        <patternFill>
          <bgColor indexed="62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b/>
        <i val="0"/>
        <condense val="0"/>
        <extend val="0"/>
        <color indexed="62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 patternType="none">
          <bgColor indexed="65"/>
        </patternFill>
      </fill>
      <border>
        <left/>
        <right/>
        <bottom/>
      </border>
    </dxf>
    <dxf>
      <fill>
        <patternFill>
          <bgColor indexed="22"/>
        </patternFill>
      </fill>
    </dxf>
    <dxf>
      <font>
        <b/>
        <i val="0"/>
        <strike val="0"/>
        <condense val="0"/>
        <extend val="0"/>
        <u val="none"/>
        <color indexed="12"/>
      </font>
    </dxf>
    <dxf>
      <font>
        <b/>
        <i val="0"/>
        <color theme="0"/>
      </font>
      <fill>
        <patternFill patternType="solid">
          <fgColor indexed="64"/>
          <bgColor theme="4" tint="-0.24994659260841701"/>
        </patternFill>
      </fill>
    </dxf>
    <dxf>
      <fill>
        <gradientFill>
          <stop position="0">
            <color theme="3" tint="0.59999389629810485"/>
          </stop>
          <stop position="1">
            <color theme="7" tint="0.59999389629810485"/>
          </stop>
        </gradientFill>
      </fill>
    </dxf>
    <dxf>
      <font>
        <b/>
        <i/>
        <color rgb="FFFFFF66"/>
      </font>
      <fill>
        <patternFill>
          <bgColor rgb="FF008000"/>
        </patternFill>
      </fill>
    </dxf>
    <dxf>
      <font>
        <b/>
        <i/>
        <color rgb="FFFFFF0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theme="9" tint="-0.24994659260841701"/>
        </patternFill>
      </fill>
    </dxf>
    <dxf>
      <font>
        <b/>
        <i val="0"/>
        <strike val="0"/>
        <condense val="0"/>
        <extend val="0"/>
        <u val="none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62"/>
      </font>
      <fill>
        <patternFill>
          <bgColor indexed="43"/>
        </patternFill>
      </fill>
    </dxf>
    <dxf>
      <font>
        <b/>
        <i val="0"/>
        <condense val="0"/>
        <extend val="0"/>
        <color indexed="62"/>
      </font>
      <fill>
        <patternFill>
          <bgColor indexed="43"/>
        </patternFill>
      </fill>
    </dxf>
    <dxf>
      <font>
        <b/>
        <i val="0"/>
        <condense val="0"/>
        <extend val="0"/>
        <color indexed="62"/>
      </font>
      <fill>
        <patternFill>
          <bgColor indexed="43"/>
        </patternFill>
      </fill>
    </dxf>
    <dxf>
      <fill>
        <patternFill>
          <bgColor indexed="41"/>
        </patternFill>
      </fill>
    </dxf>
    <dxf>
      <fill>
        <patternFill patternType="none">
          <bgColor indexed="65"/>
        </patternFill>
      </fill>
      <border>
        <left/>
        <bottom/>
      </border>
    </dxf>
    <dxf>
      <font>
        <b/>
        <i val="0"/>
        <strike val="0"/>
        <condense val="0"/>
        <extend val="0"/>
        <u val="none"/>
        <color indexed="9"/>
      </font>
      <fill>
        <patternFill patternType="solid">
          <bgColor indexed="10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strike val="0"/>
        <condense val="0"/>
        <extend val="0"/>
        <u val="none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62"/>
      </font>
      <fill>
        <patternFill>
          <bgColor indexed="43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strike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 patternType="none">
          <bgColor indexed="65"/>
        </patternFill>
      </fill>
      <border>
        <left/>
        <right/>
        <top/>
        <bottom/>
      </border>
    </dxf>
    <dxf>
      <font>
        <b/>
        <i val="0"/>
        <condense val="0"/>
        <extend val="0"/>
        <color indexed="16"/>
      </font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condense val="0"/>
        <extend val="0"/>
      </font>
      <fill>
        <patternFill>
          <bgColor indexed="42"/>
        </patternFill>
      </fill>
    </dxf>
    <dxf>
      <fill>
        <patternFill>
          <bgColor indexed="42"/>
        </patternFill>
      </fill>
    </dxf>
    <dxf>
      <font>
        <b/>
        <i val="0"/>
        <condense val="0"/>
        <extend val="0"/>
        <color indexed="6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 patternType="none">
          <bgColor indexed="65"/>
        </patternFill>
      </fill>
      <border>
        <left/>
        <right/>
        <bottom/>
      </border>
    </dxf>
    <dxf>
      <font>
        <b/>
        <i val="0"/>
        <condense val="0"/>
        <extend val="0"/>
        <color indexed="13"/>
      </font>
      <fill>
        <patternFill patternType="solid">
          <bgColor indexed="48"/>
        </patternFill>
      </fill>
    </dxf>
    <dxf>
      <border>
        <left/>
        <right/>
        <top/>
        <bottom/>
      </border>
    </dxf>
    <dxf>
      <font>
        <b/>
        <i val="0"/>
        <condense val="0"/>
        <extend val="0"/>
        <color indexed="16"/>
      </font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border>
        <left/>
        <right/>
        <bottom/>
      </border>
    </dxf>
    <dxf>
      <font>
        <b/>
        <i val="0"/>
        <condense val="0"/>
        <extend val="0"/>
        <color indexed="62"/>
      </font>
      <fill>
        <patternFill>
          <bgColor indexed="43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22"/>
        </patternFill>
      </fill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u val="none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u val="none"/>
        <color indexed="12"/>
      </font>
    </dxf>
    <dxf>
      <font>
        <b/>
        <i val="0"/>
        <strike val="0"/>
        <condense val="0"/>
        <extend val="0"/>
        <color indexed="1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b/>
        <i val="0"/>
        <condense val="0"/>
        <extend val="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b/>
        <i val="0"/>
        <condense val="0"/>
        <extend val="0"/>
        <color indexed="62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b/>
        <i val="0"/>
        <condense val="0"/>
        <extend val="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 patternType="none">
          <bgColor indexed="65"/>
        </patternFill>
      </fill>
      <border>
        <left/>
        <right/>
        <bottom/>
      </border>
    </dxf>
    <dxf>
      <fill>
        <patternFill>
          <bgColor indexed="22"/>
        </patternFill>
      </fill>
    </dxf>
    <dxf>
      <font>
        <b/>
        <i val="0"/>
        <strike val="0"/>
        <condense val="0"/>
        <extend val="0"/>
        <u val="none"/>
        <color indexed="12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strike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strike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62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/>
        <color rgb="FFFFFF0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theme="9" tint="-0.24994659260841701"/>
        </patternFill>
      </fill>
    </dxf>
    <dxf>
      <font>
        <b/>
        <i/>
        <color rgb="FFFFFF66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lor theme="0"/>
      </font>
      <fill>
        <patternFill patternType="solid">
          <fgColor indexed="64"/>
          <bgColor theme="4" tint="-0.24994659260841701"/>
        </patternFill>
      </fill>
    </dxf>
    <dxf>
      <fill>
        <gradientFill>
          <stop position="0">
            <color theme="3" tint="0.59999389629810485"/>
          </stop>
          <stop position="1">
            <color theme="7" tint="0.59999389629810485"/>
          </stop>
        </gradientFill>
      </fill>
    </dxf>
    <dxf>
      <font>
        <b/>
        <i val="0"/>
        <condense val="0"/>
        <extend val="0"/>
        <color indexed="62"/>
      </font>
      <fill>
        <patternFill>
          <bgColor indexed="43"/>
        </patternFill>
      </fill>
    </dxf>
    <dxf>
      <font>
        <b/>
        <i val="0"/>
        <condense val="0"/>
        <extend val="0"/>
        <color indexed="62"/>
      </font>
      <fill>
        <patternFill>
          <bgColor indexed="43"/>
        </patternFill>
      </fill>
    </dxf>
    <dxf>
      <font>
        <b/>
        <i val="0"/>
        <condense val="0"/>
        <extend val="0"/>
        <color indexed="62"/>
      </font>
      <fill>
        <patternFill>
          <bgColor indexed="43"/>
        </patternFill>
      </fill>
    </dxf>
    <dxf>
      <font>
        <b/>
        <i val="0"/>
        <condense val="0"/>
        <extend val="0"/>
        <color indexed="62"/>
      </font>
      <fill>
        <patternFill>
          <bgColor indexed="43"/>
        </patternFill>
      </fill>
    </dxf>
    <dxf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22"/>
        </patternFill>
      </fill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u val="none"/>
        <color indexed="9"/>
      </font>
      <fill>
        <patternFill patternType="solid"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lor theme="0"/>
      </font>
      <fill>
        <patternFill patternType="none">
          <bgColor indexed="65"/>
        </patternFill>
      </fill>
      <border>
        <left/>
        <right/>
        <bottom/>
      </border>
    </dxf>
    <dxf>
      <font>
        <b/>
        <i val="0"/>
        <strike val="0"/>
        <condense val="0"/>
        <extend val="0"/>
        <u val="none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42"/>
        </patternFill>
      </fill>
      <border>
        <top style="thin">
          <color indexed="64"/>
        </top>
      </border>
    </dxf>
    <dxf>
      <font>
        <b/>
        <i val="0"/>
        <strike val="0"/>
        <condense val="0"/>
        <extend val="0"/>
        <u val="none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strike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strike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strike val="0"/>
        <condense val="0"/>
        <extend val="0"/>
        <u val="none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6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16"/>
      </font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/>
        <i val="0"/>
        <condense val="0"/>
        <extend val="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bgColor indexed="65"/>
        </patternFill>
      </fill>
      <border>
        <left/>
        <right/>
        <top/>
        <bottom/>
      </border>
    </dxf>
    <dxf>
      <font>
        <b/>
        <i val="0"/>
        <condense val="0"/>
        <extend val="0"/>
        <color indexed="16"/>
      </font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/>
        <i val="0"/>
        <condense val="0"/>
        <extend val="0"/>
        <color indexed="62"/>
      </font>
      <fill>
        <patternFill>
          <bgColor indexed="43"/>
        </patternFill>
      </fill>
    </dxf>
    <dxf>
      <font>
        <b val="0"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ont>
        <b/>
        <i val="0"/>
        <condense val="0"/>
        <extend val="0"/>
        <color indexed="13"/>
      </font>
      <fill>
        <patternFill patternType="solid">
          <bgColor indexed="48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42"/>
        </patternFill>
      </fill>
    </dxf>
    <dxf>
      <font>
        <b/>
        <i val="0"/>
        <strike val="0"/>
        <condense val="0"/>
        <extend val="0"/>
        <color indexed="10"/>
      </font>
    </dxf>
    <dxf>
      <fill>
        <patternFill>
          <bgColor indexed="22"/>
        </patternFill>
      </fill>
    </dxf>
    <dxf>
      <font>
        <b/>
        <i val="0"/>
        <strike val="0"/>
        <condense val="0"/>
        <extend val="0"/>
        <u val="none"/>
        <color indexed="12"/>
      </font>
    </dxf>
  </dxfs>
  <tableStyles count="0" defaultTableStyle="TableStyleMedium9" defaultPivotStyle="PivotStyleLight16"/>
  <colors>
    <mruColors>
      <color rgb="FFFFFF66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16" fmlaLink="$L$82" fmlaRange="'NACE AR 16-10-2000'!$B$3:$B$507" noThreeD="1" sel="505" val="497"/>
</file>

<file path=xl/ctrlProps/ctrlProp10.xml><?xml version="1.0" encoding="utf-8"?>
<formControlPr xmlns="http://schemas.microsoft.com/office/spreadsheetml/2009/9/main" objectType="CheckBox" fmlaLink="L81" lockText="1"/>
</file>

<file path=xl/ctrlProps/ctrlProp11.xml><?xml version="1.0" encoding="utf-8"?>
<formControlPr xmlns="http://schemas.microsoft.com/office/spreadsheetml/2009/9/main" objectType="CheckBox" fmlaLink="L76" lockText="1"/>
</file>

<file path=xl/ctrlProps/ctrlProp12.xml><?xml version="1.0" encoding="utf-8"?>
<formControlPr xmlns="http://schemas.microsoft.com/office/spreadsheetml/2009/9/main" objectType="CheckBox" fmlaLink="I2" lockText="1"/>
</file>

<file path=xl/ctrlProps/ctrlProp13.xml><?xml version="1.0" encoding="utf-8"?>
<formControlPr xmlns="http://schemas.microsoft.com/office/spreadsheetml/2009/9/main" objectType="CheckBox" fmlaLink="I3" lockText="1"/>
</file>

<file path=xl/ctrlProps/ctrlProp14.xml><?xml version="1.0" encoding="utf-8"?>
<formControlPr xmlns="http://schemas.microsoft.com/office/spreadsheetml/2009/9/main" objectType="CheckBox" fmlaLink="I11" lockText="1"/>
</file>

<file path=xl/ctrlProps/ctrlProp15.xml><?xml version="1.0" encoding="utf-8"?>
<formControlPr xmlns="http://schemas.microsoft.com/office/spreadsheetml/2009/9/main" objectType="CheckBox" fmlaLink="I12" lockText="1"/>
</file>

<file path=xl/ctrlProps/ctrlProp16.xml><?xml version="1.0" encoding="utf-8"?>
<formControlPr xmlns="http://schemas.microsoft.com/office/spreadsheetml/2009/9/main" objectType="CheckBox" fmlaLink="I13" lockText="1"/>
</file>

<file path=xl/ctrlProps/ctrlProp17.xml><?xml version="1.0" encoding="utf-8"?>
<formControlPr xmlns="http://schemas.microsoft.com/office/spreadsheetml/2009/9/main" objectType="CheckBox" fmlaLink="I20" lockText="1"/>
</file>

<file path=xl/ctrlProps/ctrlProp18.xml><?xml version="1.0" encoding="utf-8"?>
<formControlPr xmlns="http://schemas.microsoft.com/office/spreadsheetml/2009/9/main" objectType="CheckBox" fmlaLink="I21" lockText="1"/>
</file>

<file path=xl/ctrlProps/ctrlProp19.xml><?xml version="1.0" encoding="utf-8"?>
<formControlPr xmlns="http://schemas.microsoft.com/office/spreadsheetml/2009/9/main" objectType="CheckBox" fmlaLink="I22" lockText="1"/>
</file>

<file path=xl/ctrlProps/ctrlProp2.xml><?xml version="1.0" encoding="utf-8"?>
<formControlPr xmlns="http://schemas.microsoft.com/office/spreadsheetml/2009/9/main" objectType="CheckBox" fmlaLink="L74" lockText="1"/>
</file>

<file path=xl/ctrlProps/ctrlProp3.xml><?xml version="1.0" encoding="utf-8"?>
<formControlPr xmlns="http://schemas.microsoft.com/office/spreadsheetml/2009/9/main" objectType="CheckBox" fmlaLink="L71" lockText="1"/>
</file>

<file path=xl/ctrlProps/ctrlProp4.xml><?xml version="1.0" encoding="utf-8"?>
<formControlPr xmlns="http://schemas.microsoft.com/office/spreadsheetml/2009/9/main" objectType="Drop" dropLines="6" dropStyle="combo" dx="16" fmlaLink="$L$83" fmlaRange="$M$84:$M$89" noThreeD="1" sel="3" val="0"/>
</file>

<file path=xl/ctrlProps/ctrlProp5.xml><?xml version="1.0" encoding="utf-8"?>
<formControlPr xmlns="http://schemas.microsoft.com/office/spreadsheetml/2009/9/main" objectType="CheckBox" fmlaLink="L72" lockText="1"/>
</file>

<file path=xl/ctrlProps/ctrlProp6.xml><?xml version="1.0" encoding="utf-8"?>
<formControlPr xmlns="http://schemas.microsoft.com/office/spreadsheetml/2009/9/main" objectType="Radio" firstButton="1" fmlaLink="L75" lockText="1"/>
</file>

<file path=xl/ctrlProps/ctrlProp7.xml><?xml version="1.0" encoding="utf-8"?>
<formControlPr xmlns="http://schemas.microsoft.com/office/spreadsheetml/2009/9/main" objectType="Radio" checked="Checked" lockText="1"/>
</file>

<file path=xl/ctrlProps/ctrlProp8.xml><?xml version="1.0" encoding="utf-8"?>
<formControlPr xmlns="http://schemas.microsoft.com/office/spreadsheetml/2009/9/main" objectType="CheckBox" fmlaLink="L77" lockText="1"/>
</file>

<file path=xl/ctrlProps/ctrlProp9.xml><?xml version="1.0" encoding="utf-8"?>
<formControlPr xmlns="http://schemas.microsoft.com/office/spreadsheetml/2009/9/main" objectType="Drop" dropLines="2" dropStyle="combo" dx="16" fmlaLink="$L$79" fmlaRange="$M$79:$M$80" val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comments" Target="../comments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13.xml"/><Relationship Id="rId4" Type="http://schemas.openxmlformats.org/officeDocument/2006/relationships/ctrlProp" Target="../ctrlProps/ctrlProp1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8.xml"/><Relationship Id="rId3" Type="http://schemas.openxmlformats.org/officeDocument/2006/relationships/comments" Target="../comments6.xml"/><Relationship Id="rId7" Type="http://schemas.openxmlformats.org/officeDocument/2006/relationships/ctrlProp" Target="../ctrlProps/ctrlProp17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16.xml"/><Relationship Id="rId5" Type="http://schemas.openxmlformats.org/officeDocument/2006/relationships/ctrlProp" Target="../ctrlProps/ctrlProp15.xml"/><Relationship Id="rId4" Type="http://schemas.openxmlformats.org/officeDocument/2006/relationships/ctrlProp" Target="../ctrlProps/ctrlProp14.xml"/><Relationship Id="rId9" Type="http://schemas.openxmlformats.org/officeDocument/2006/relationships/ctrlProp" Target="../ctrlProps/ctrlProp19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/>
  <dimension ref="A1:DE93"/>
  <sheetViews>
    <sheetView tabSelected="1" workbookViewId="0">
      <selection activeCell="B1" sqref="B1"/>
    </sheetView>
  </sheetViews>
  <sheetFormatPr baseColWidth="10" defaultRowHeight="12.75"/>
  <cols>
    <col min="1" max="1" width="24" customWidth="1"/>
    <col min="3" max="3" width="12.140625" customWidth="1"/>
    <col min="4" max="5" width="11" customWidth="1"/>
    <col min="6" max="6" width="12" customWidth="1"/>
    <col min="7" max="7" width="14.7109375" customWidth="1"/>
    <col min="9" max="9" width="19.28515625" hidden="1" customWidth="1"/>
    <col min="10" max="10" width="11.42578125" hidden="1" customWidth="1"/>
    <col min="11" max="11" width="11.140625" hidden="1" customWidth="1"/>
    <col min="12" max="13" width="25.28515625" hidden="1" customWidth="1"/>
    <col min="14" max="14" width="15.7109375" hidden="1" customWidth="1"/>
    <col min="15" max="15" width="14.7109375" hidden="1" customWidth="1"/>
    <col min="16" max="16" width="18.28515625" hidden="1" customWidth="1"/>
    <col min="17" max="17" width="16.42578125" hidden="1" customWidth="1"/>
    <col min="18" max="21" width="15.5703125" hidden="1" customWidth="1"/>
    <col min="22" max="22" width="13.42578125" hidden="1" customWidth="1"/>
    <col min="23" max="23" width="12.7109375" hidden="1" customWidth="1"/>
    <col min="24" max="24" width="13.28515625" hidden="1" customWidth="1"/>
    <col min="25" max="25" width="14.42578125" hidden="1" customWidth="1"/>
    <col min="26" max="55" width="13.28515625" hidden="1" customWidth="1"/>
    <col min="56" max="73" width="12.7109375" hidden="1" customWidth="1"/>
    <col min="74" max="106" width="11.42578125" hidden="1" customWidth="1"/>
  </cols>
  <sheetData>
    <row r="1" spans="1:106" ht="15" customHeight="1">
      <c r="A1" s="1" t="s">
        <v>0</v>
      </c>
      <c r="B1" s="155"/>
      <c r="C1" s="1"/>
      <c r="D1" s="1"/>
      <c r="E1" s="1"/>
      <c r="F1" s="19" t="s">
        <v>976</v>
      </c>
      <c r="G1" s="157"/>
    </row>
    <row r="2" spans="1:106" ht="15" customHeight="1">
      <c r="A2" s="2" t="s">
        <v>1</v>
      </c>
      <c r="B2" s="156"/>
      <c r="J2" s="197" t="str">
        <f>IF(B20&lt;&gt;"",IF(L77=TRUE,MAX('Enquêtes multiples'!I3,I29,I33),MAX(I29,I33)),"")</f>
        <v/>
      </c>
    </row>
    <row r="3" spans="1:106" ht="15" customHeight="1" thickBot="1">
      <c r="A3" s="4" t="s">
        <v>2</v>
      </c>
      <c r="B3" s="156"/>
      <c r="C3" s="5"/>
      <c r="D3" s="5"/>
      <c r="E3" s="5"/>
      <c r="F3" s="5"/>
      <c r="G3" s="5"/>
      <c r="M3" s="6"/>
      <c r="N3" s="6"/>
      <c r="O3" s="6"/>
      <c r="P3" s="6"/>
      <c r="Q3" s="7" t="s">
        <v>12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N3" s="14"/>
      <c r="AO3" s="14"/>
      <c r="AP3" s="14"/>
      <c r="AQ3" s="14"/>
      <c r="AR3" s="14"/>
      <c r="AS3" s="14"/>
    </row>
    <row r="4" spans="1:106" ht="15" customHeight="1" thickTop="1">
      <c r="A4" s="4" t="s">
        <v>3</v>
      </c>
      <c r="B4" s="156"/>
      <c r="C4" s="5"/>
      <c r="D4" s="5"/>
      <c r="E4" s="5"/>
      <c r="J4" s="6"/>
      <c r="K4" s="6"/>
      <c r="L4" s="121" t="s">
        <v>4</v>
      </c>
      <c r="M4" s="122"/>
      <c r="N4" s="123"/>
      <c r="O4" s="6"/>
      <c r="P4" s="14"/>
      <c r="Q4" s="7" t="s">
        <v>14</v>
      </c>
      <c r="R4" s="14"/>
      <c r="S4" s="14"/>
      <c r="T4" s="7" t="s">
        <v>15</v>
      </c>
      <c r="U4" s="14"/>
      <c r="V4" s="14"/>
      <c r="W4" s="7" t="s">
        <v>16</v>
      </c>
      <c r="X4" s="14"/>
      <c r="Y4" s="14"/>
      <c r="Z4" s="7" t="s">
        <v>17</v>
      </c>
      <c r="AA4" s="14"/>
      <c r="AB4" s="14"/>
      <c r="AC4" s="7" t="s">
        <v>18</v>
      </c>
      <c r="AD4" s="14"/>
      <c r="AE4" s="14"/>
      <c r="AF4" s="7" t="s">
        <v>19</v>
      </c>
      <c r="AG4" s="14"/>
      <c r="AH4" s="14"/>
      <c r="AI4" s="7" t="s">
        <v>20</v>
      </c>
      <c r="AJ4" s="14"/>
      <c r="AK4" s="14"/>
      <c r="AL4" s="7" t="s">
        <v>21</v>
      </c>
      <c r="AM4" s="14"/>
      <c r="AN4" s="14"/>
      <c r="AO4" s="7" t="s">
        <v>22</v>
      </c>
      <c r="AP4" s="14"/>
      <c r="AQ4" s="14"/>
      <c r="AR4" s="7" t="s">
        <v>23</v>
      </c>
      <c r="AS4" s="14"/>
      <c r="AT4" s="14"/>
      <c r="AU4" s="7" t="s">
        <v>974</v>
      </c>
      <c r="AV4" s="14"/>
      <c r="AW4" s="14"/>
      <c r="AX4" s="7" t="s">
        <v>975</v>
      </c>
      <c r="AY4" s="14"/>
      <c r="AZ4" s="14"/>
      <c r="BA4" s="7" t="s">
        <v>990</v>
      </c>
      <c r="BB4" s="14"/>
      <c r="BC4" s="14"/>
      <c r="BD4" s="7" t="s">
        <v>991</v>
      </c>
      <c r="BE4" s="14"/>
      <c r="BF4" s="14"/>
      <c r="BG4" s="7" t="s">
        <v>992</v>
      </c>
      <c r="BH4" s="14"/>
      <c r="BI4" s="14"/>
      <c r="BJ4" s="7" t="s">
        <v>993</v>
      </c>
      <c r="BK4" s="14"/>
      <c r="BL4" s="14"/>
      <c r="BM4" s="7" t="s">
        <v>994</v>
      </c>
      <c r="BN4" s="14"/>
      <c r="BO4" s="14"/>
      <c r="BP4" s="7" t="s">
        <v>995</v>
      </c>
      <c r="BQ4" s="14"/>
      <c r="BR4" s="14"/>
      <c r="BS4" s="7" t="s">
        <v>996</v>
      </c>
      <c r="BT4" s="14"/>
      <c r="BU4" s="14"/>
      <c r="BV4" s="7" t="s">
        <v>997</v>
      </c>
      <c r="BW4" s="14"/>
      <c r="BX4" s="14"/>
      <c r="BY4" s="7" t="s">
        <v>998</v>
      </c>
      <c r="BZ4" s="14"/>
      <c r="CA4" s="14"/>
      <c r="CB4" s="7" t="s">
        <v>999</v>
      </c>
      <c r="CC4" s="14"/>
      <c r="CD4" s="14"/>
      <c r="CE4" s="7" t="s">
        <v>1000</v>
      </c>
      <c r="CF4" s="14"/>
      <c r="CG4" s="14"/>
      <c r="CH4" s="7" t="s">
        <v>1001</v>
      </c>
      <c r="CI4" s="14"/>
      <c r="CJ4" s="14"/>
      <c r="CK4" s="7" t="s">
        <v>1002</v>
      </c>
      <c r="CL4" s="14"/>
      <c r="CM4" s="14"/>
      <c r="CN4" s="7" t="s">
        <v>1003</v>
      </c>
      <c r="CO4" s="14"/>
      <c r="CP4" s="14"/>
      <c r="CQ4" s="7" t="s">
        <v>1004</v>
      </c>
      <c r="CR4" s="14"/>
      <c r="CS4" s="14"/>
      <c r="CT4" s="7" t="s">
        <v>1005</v>
      </c>
      <c r="CU4" s="14"/>
      <c r="CV4" s="14"/>
      <c r="CW4" s="7" t="s">
        <v>1006</v>
      </c>
      <c r="CX4" s="14"/>
      <c r="CY4" s="14"/>
      <c r="CZ4" s="7" t="s">
        <v>1007</v>
      </c>
      <c r="DA4" s="14"/>
      <c r="DB4" s="14"/>
    </row>
    <row r="5" spans="1:106" ht="15" customHeight="1">
      <c r="A5" s="4" t="s">
        <v>5</v>
      </c>
      <c r="B5" s="156"/>
      <c r="C5" s="5"/>
      <c r="D5" s="5"/>
      <c r="E5" s="5"/>
      <c r="I5" s="6"/>
      <c r="J5" s="187"/>
      <c r="K5" s="6"/>
      <c r="L5" s="124" t="s">
        <v>6</v>
      </c>
      <c r="M5" s="9">
        <v>20</v>
      </c>
      <c r="N5" s="125"/>
      <c r="P5" s="14"/>
      <c r="Q5" s="22" t="s">
        <v>24</v>
      </c>
      <c r="R5" s="22" t="s">
        <v>25</v>
      </c>
      <c r="S5" s="22" t="s">
        <v>26</v>
      </c>
      <c r="T5" s="22" t="s">
        <v>24</v>
      </c>
      <c r="U5" s="22" t="s">
        <v>25</v>
      </c>
      <c r="V5" s="22" t="s">
        <v>26</v>
      </c>
      <c r="W5" s="22" t="s">
        <v>24</v>
      </c>
      <c r="X5" s="22" t="s">
        <v>25</v>
      </c>
      <c r="Y5" s="22" t="s">
        <v>26</v>
      </c>
      <c r="Z5" s="22" t="s">
        <v>24</v>
      </c>
      <c r="AA5" s="22" t="s">
        <v>25</v>
      </c>
      <c r="AB5" s="22" t="s">
        <v>26</v>
      </c>
      <c r="AC5" s="22" t="s">
        <v>24</v>
      </c>
      <c r="AD5" s="22" t="s">
        <v>25</v>
      </c>
      <c r="AE5" s="22" t="s">
        <v>26</v>
      </c>
      <c r="AF5" s="22" t="s">
        <v>24</v>
      </c>
      <c r="AG5" s="22" t="s">
        <v>25</v>
      </c>
      <c r="AH5" s="22" t="s">
        <v>26</v>
      </c>
      <c r="AI5" s="22" t="s">
        <v>24</v>
      </c>
      <c r="AJ5" s="22" t="s">
        <v>25</v>
      </c>
      <c r="AK5" s="22" t="s">
        <v>26</v>
      </c>
      <c r="AL5" s="22" t="s">
        <v>24</v>
      </c>
      <c r="AM5" s="22" t="s">
        <v>25</v>
      </c>
      <c r="AN5" s="22" t="s">
        <v>26</v>
      </c>
      <c r="AO5" s="22" t="s">
        <v>24</v>
      </c>
      <c r="AP5" s="22" t="s">
        <v>25</v>
      </c>
      <c r="AQ5" s="22" t="s">
        <v>26</v>
      </c>
      <c r="AR5" s="22" t="s">
        <v>24</v>
      </c>
      <c r="AS5" s="22" t="s">
        <v>25</v>
      </c>
      <c r="AT5" s="22" t="s">
        <v>26</v>
      </c>
      <c r="AU5" s="22" t="s">
        <v>24</v>
      </c>
      <c r="AV5" s="22" t="s">
        <v>25</v>
      </c>
      <c r="AW5" s="22" t="s">
        <v>26</v>
      </c>
      <c r="AX5" s="22" t="s">
        <v>24</v>
      </c>
      <c r="AY5" s="22" t="s">
        <v>25</v>
      </c>
      <c r="AZ5" s="22" t="s">
        <v>26</v>
      </c>
      <c r="BA5" s="22" t="s">
        <v>24</v>
      </c>
      <c r="BB5" s="22" t="s">
        <v>25</v>
      </c>
      <c r="BC5" s="22" t="s">
        <v>26</v>
      </c>
      <c r="BD5" s="22" t="s">
        <v>24</v>
      </c>
      <c r="BE5" s="22" t="s">
        <v>25</v>
      </c>
      <c r="BF5" s="22" t="s">
        <v>26</v>
      </c>
      <c r="BG5" s="22" t="s">
        <v>24</v>
      </c>
      <c r="BH5" s="22" t="s">
        <v>25</v>
      </c>
      <c r="BI5" s="22" t="s">
        <v>26</v>
      </c>
      <c r="BJ5" s="22" t="s">
        <v>24</v>
      </c>
      <c r="BK5" s="22" t="s">
        <v>25</v>
      </c>
      <c r="BL5" s="22" t="s">
        <v>26</v>
      </c>
      <c r="BM5" s="22" t="s">
        <v>24</v>
      </c>
      <c r="BN5" s="22" t="s">
        <v>25</v>
      </c>
      <c r="BO5" s="22" t="s">
        <v>26</v>
      </c>
      <c r="BP5" s="22" t="s">
        <v>24</v>
      </c>
      <c r="BQ5" s="22" t="s">
        <v>25</v>
      </c>
      <c r="BR5" s="22" t="s">
        <v>26</v>
      </c>
      <c r="BS5" s="22" t="s">
        <v>24</v>
      </c>
      <c r="BT5" s="22" t="s">
        <v>25</v>
      </c>
      <c r="BU5" s="22" t="s">
        <v>26</v>
      </c>
      <c r="BV5" s="22" t="s">
        <v>24</v>
      </c>
      <c r="BW5" s="22" t="s">
        <v>25</v>
      </c>
      <c r="BX5" s="22" t="s">
        <v>26</v>
      </c>
      <c r="BY5" s="22" t="s">
        <v>24</v>
      </c>
      <c r="BZ5" s="22" t="s">
        <v>25</v>
      </c>
      <c r="CA5" s="22" t="s">
        <v>26</v>
      </c>
      <c r="CB5" s="22" t="s">
        <v>24</v>
      </c>
      <c r="CC5" s="22" t="s">
        <v>25</v>
      </c>
      <c r="CD5" s="22" t="s">
        <v>26</v>
      </c>
      <c r="CE5" s="22" t="s">
        <v>24</v>
      </c>
      <c r="CF5" s="22" t="s">
        <v>25</v>
      </c>
      <c r="CG5" s="22" t="s">
        <v>26</v>
      </c>
      <c r="CH5" s="22" t="s">
        <v>24</v>
      </c>
      <c r="CI5" s="22" t="s">
        <v>25</v>
      </c>
      <c r="CJ5" s="22" t="s">
        <v>26</v>
      </c>
      <c r="CK5" s="22" t="s">
        <v>24</v>
      </c>
      <c r="CL5" s="22" t="s">
        <v>25</v>
      </c>
      <c r="CM5" s="22" t="s">
        <v>26</v>
      </c>
      <c r="CN5" s="22" t="s">
        <v>24</v>
      </c>
      <c r="CO5" s="22" t="s">
        <v>25</v>
      </c>
      <c r="CP5" s="22" t="s">
        <v>26</v>
      </c>
      <c r="CQ5" s="22" t="s">
        <v>24</v>
      </c>
      <c r="CR5" s="22" t="s">
        <v>25</v>
      </c>
      <c r="CS5" s="22" t="s">
        <v>26</v>
      </c>
      <c r="CT5" s="22" t="s">
        <v>24</v>
      </c>
      <c r="CU5" s="22" t="s">
        <v>25</v>
      </c>
      <c r="CV5" s="22" t="s">
        <v>26</v>
      </c>
      <c r="CW5" s="22" t="s">
        <v>24</v>
      </c>
      <c r="CX5" s="22" t="s">
        <v>25</v>
      </c>
      <c r="CY5" s="22" t="s">
        <v>26</v>
      </c>
      <c r="CZ5" s="22" t="s">
        <v>24</v>
      </c>
      <c r="DA5" s="22" t="s">
        <v>25</v>
      </c>
      <c r="DB5" s="22" t="s">
        <v>26</v>
      </c>
    </row>
    <row r="6" spans="1:106" ht="29.1" customHeight="1">
      <c r="A6" s="11" t="s">
        <v>7</v>
      </c>
      <c r="B6" s="347"/>
      <c r="C6" s="348"/>
      <c r="D6" s="348"/>
      <c r="E6" s="348"/>
      <c r="F6" s="348"/>
      <c r="G6" s="348"/>
      <c r="H6" s="12"/>
      <c r="J6" s="6"/>
      <c r="K6" s="6"/>
      <c r="L6" s="250" t="s">
        <v>1083</v>
      </c>
      <c r="M6" s="31">
        <v>6</v>
      </c>
      <c r="N6" s="125"/>
      <c r="O6" s="13"/>
      <c r="P6" s="1" t="s">
        <v>65</v>
      </c>
      <c r="Q6" s="27" t="str">
        <f>IF($C51&lt;&gt;"",$C51+$J$50,"")</f>
        <v/>
      </c>
      <c r="R6" s="27" t="e">
        <f>Q6+1</f>
        <v>#VALUE!</v>
      </c>
      <c r="S6" s="27" t="e">
        <f>Q6+2</f>
        <v>#VALUE!</v>
      </c>
      <c r="T6" s="27" t="str">
        <f>IF($C52&lt;&gt;"",$C52+$J$50,"")</f>
        <v/>
      </c>
      <c r="U6" s="27" t="e">
        <f>T6+1</f>
        <v>#VALUE!</v>
      </c>
      <c r="V6" s="27" t="e">
        <f>T6+2</f>
        <v>#VALUE!</v>
      </c>
      <c r="W6" s="27" t="str">
        <f>IF($C53&lt;&gt;"",$C53+$J$50,"")</f>
        <v/>
      </c>
      <c r="X6" s="27" t="e">
        <f>W6+1</f>
        <v>#VALUE!</v>
      </c>
      <c r="Y6" s="27" t="e">
        <f>W6+2</f>
        <v>#VALUE!</v>
      </c>
      <c r="Z6" s="27" t="str">
        <f>IF($C54&lt;&gt;"",$C54+$J$50,"")</f>
        <v/>
      </c>
      <c r="AA6" s="27" t="e">
        <f>Z6+1</f>
        <v>#VALUE!</v>
      </c>
      <c r="AB6" s="27" t="e">
        <f>Z6+2</f>
        <v>#VALUE!</v>
      </c>
      <c r="AC6" s="27" t="str">
        <f>IF($C55&lt;&gt;"",$C55+$J$50,"")</f>
        <v/>
      </c>
      <c r="AD6" s="27" t="e">
        <f>AC6+1</f>
        <v>#VALUE!</v>
      </c>
      <c r="AE6" s="27" t="e">
        <f>AC6+2</f>
        <v>#VALUE!</v>
      </c>
      <c r="AF6" s="27" t="str">
        <f>IF($C56&lt;&gt;"",$C56+$J$50,"")</f>
        <v/>
      </c>
      <c r="AG6" s="27" t="e">
        <f>AF6+1</f>
        <v>#VALUE!</v>
      </c>
      <c r="AH6" s="27" t="e">
        <f>AF6+2</f>
        <v>#VALUE!</v>
      </c>
      <c r="AI6" s="27" t="str">
        <f>IF($C57&lt;&gt;"",$C57+$J$50,"")</f>
        <v/>
      </c>
      <c r="AJ6" s="27" t="e">
        <f>AI6+1</f>
        <v>#VALUE!</v>
      </c>
      <c r="AK6" s="27" t="e">
        <f>AI6+2</f>
        <v>#VALUE!</v>
      </c>
      <c r="AL6" s="27" t="str">
        <f>IF($C58&lt;&gt;"",$C58+$J$50,"")</f>
        <v/>
      </c>
      <c r="AM6" s="27" t="e">
        <f>AL6+1</f>
        <v>#VALUE!</v>
      </c>
      <c r="AN6" s="27" t="e">
        <f>AL6+2</f>
        <v>#VALUE!</v>
      </c>
      <c r="AO6" s="27" t="str">
        <f>IF($C59&lt;&gt;"",$C59+$J$50,"")</f>
        <v/>
      </c>
      <c r="AP6" s="27" t="e">
        <f>AO6+1</f>
        <v>#VALUE!</v>
      </c>
      <c r="AQ6" s="27" t="e">
        <f>AO6+2</f>
        <v>#VALUE!</v>
      </c>
      <c r="AR6" s="27" t="str">
        <f>IF($C60&lt;&gt;"",$C60+$J$50,"")</f>
        <v/>
      </c>
      <c r="AS6" s="27" t="e">
        <f>AR6+1</f>
        <v>#VALUE!</v>
      </c>
      <c r="AT6" s="27" t="e">
        <f>AR6+2</f>
        <v>#VALUE!</v>
      </c>
      <c r="AU6" s="27" t="str">
        <f>IF($C61&lt;&gt;"",$C61+$J$50,"")</f>
        <v/>
      </c>
      <c r="AV6" s="27" t="e">
        <f>AU6+1</f>
        <v>#VALUE!</v>
      </c>
      <c r="AW6" s="27" t="e">
        <f>AU6+2</f>
        <v>#VALUE!</v>
      </c>
      <c r="AX6" s="27" t="str">
        <f>IF($C62&lt;&gt;"",$C62+$J$50,"")</f>
        <v/>
      </c>
      <c r="AY6" s="27" t="e">
        <f>AX6+1</f>
        <v>#VALUE!</v>
      </c>
      <c r="AZ6" s="27" t="e">
        <f>AX6+2</f>
        <v>#VALUE!</v>
      </c>
      <c r="BA6" s="27" t="str">
        <f>IF($C63&lt;&gt;"",$C63+$J$50,"")</f>
        <v/>
      </c>
      <c r="BB6" s="27" t="e">
        <f>BA6+1</f>
        <v>#VALUE!</v>
      </c>
      <c r="BC6" s="27" t="e">
        <f>BA6+2</f>
        <v>#VALUE!</v>
      </c>
      <c r="BD6" s="27" t="str">
        <f>IF($C64&lt;&gt;"",$C64+$J$50,"")</f>
        <v/>
      </c>
      <c r="BE6" s="27" t="e">
        <f>BD6+1</f>
        <v>#VALUE!</v>
      </c>
      <c r="BF6" s="27" t="e">
        <f>BD6+2</f>
        <v>#VALUE!</v>
      </c>
      <c r="BG6" s="27" t="str">
        <f>IF($C65&lt;&gt;"",$C65+$J$50,"")</f>
        <v/>
      </c>
      <c r="BH6" s="27" t="e">
        <f>BG6+1</f>
        <v>#VALUE!</v>
      </c>
      <c r="BI6" s="27" t="e">
        <f>BG6+2</f>
        <v>#VALUE!</v>
      </c>
      <c r="BJ6" s="27" t="str">
        <f>IF($C66&lt;&gt;"",$C66+$J$50,"")</f>
        <v/>
      </c>
      <c r="BK6" s="27" t="e">
        <f>BJ6+1</f>
        <v>#VALUE!</v>
      </c>
      <c r="BL6" s="27" t="e">
        <f>BJ6+2</f>
        <v>#VALUE!</v>
      </c>
      <c r="BM6" s="27" t="str">
        <f>IF($C67&lt;&gt;"",$C67+$J$50,"")</f>
        <v/>
      </c>
      <c r="BN6" s="27" t="e">
        <f>BM6+1</f>
        <v>#VALUE!</v>
      </c>
      <c r="BO6" s="27" t="e">
        <f>BM6+2</f>
        <v>#VALUE!</v>
      </c>
      <c r="BP6" s="27" t="str">
        <f>IF($C68&lt;&gt;"",$C68+$J$50,"")</f>
        <v/>
      </c>
      <c r="BQ6" s="27" t="e">
        <f>BP6+1</f>
        <v>#VALUE!</v>
      </c>
      <c r="BR6" s="27" t="e">
        <f>BP6+2</f>
        <v>#VALUE!</v>
      </c>
      <c r="BS6" s="27" t="str">
        <f>IF($C69&lt;&gt;"",$C69+$J$50,"")</f>
        <v/>
      </c>
      <c r="BT6" s="27" t="e">
        <f>BS6+1</f>
        <v>#VALUE!</v>
      </c>
      <c r="BU6" s="27" t="e">
        <f>BS6+2</f>
        <v>#VALUE!</v>
      </c>
      <c r="BV6" s="27" t="str">
        <f>IF($C70&lt;&gt;"",$C70+$J$50,"")</f>
        <v/>
      </c>
      <c r="BW6" s="27" t="e">
        <f>BV6+1</f>
        <v>#VALUE!</v>
      </c>
      <c r="BX6" s="27" t="e">
        <f>BV6+2</f>
        <v>#VALUE!</v>
      </c>
      <c r="BY6" s="27" t="str">
        <f>IF($C71&lt;&gt;"",$C71+$J$50,"")</f>
        <v/>
      </c>
      <c r="BZ6" s="27" t="e">
        <f>BY6+1</f>
        <v>#VALUE!</v>
      </c>
      <c r="CA6" s="27" t="e">
        <f>BY6+2</f>
        <v>#VALUE!</v>
      </c>
      <c r="CB6" s="27" t="str">
        <f>IF($C72&lt;&gt;"",$C72+$J$50,"")</f>
        <v/>
      </c>
      <c r="CC6" s="27" t="e">
        <f>CB6+1</f>
        <v>#VALUE!</v>
      </c>
      <c r="CD6" s="27" t="e">
        <f>CB6+2</f>
        <v>#VALUE!</v>
      </c>
      <c r="CE6" s="27" t="str">
        <f>IF($C73&lt;&gt;"",$C73+$J$50,"")</f>
        <v/>
      </c>
      <c r="CF6" s="27" t="e">
        <f>CE6+1</f>
        <v>#VALUE!</v>
      </c>
      <c r="CG6" s="27" t="e">
        <f>CE6+2</f>
        <v>#VALUE!</v>
      </c>
      <c r="CH6" s="27" t="str">
        <f>IF($C74&lt;&gt;"",$C74+$J$50,"")</f>
        <v/>
      </c>
      <c r="CI6" s="27" t="e">
        <f>CH6+1</f>
        <v>#VALUE!</v>
      </c>
      <c r="CJ6" s="27" t="e">
        <f>CH6+2</f>
        <v>#VALUE!</v>
      </c>
      <c r="CK6" s="27" t="str">
        <f>IF($C75&lt;&gt;"",$C75+$J$50,"")</f>
        <v/>
      </c>
      <c r="CL6" s="27" t="e">
        <f>CK6+1</f>
        <v>#VALUE!</v>
      </c>
      <c r="CM6" s="27" t="e">
        <f>CK6+2</f>
        <v>#VALUE!</v>
      </c>
      <c r="CN6" s="27" t="str">
        <f>IF($C76&lt;&gt;"",$C76+$J$50,"")</f>
        <v/>
      </c>
      <c r="CO6" s="27" t="e">
        <f>CN6+1</f>
        <v>#VALUE!</v>
      </c>
      <c r="CP6" s="27" t="e">
        <f>CN6+2</f>
        <v>#VALUE!</v>
      </c>
      <c r="CQ6" s="27" t="str">
        <f>IF($C77&lt;&gt;"",$C77+$J$50,"")</f>
        <v/>
      </c>
      <c r="CR6" s="27" t="e">
        <f>CQ6+1</f>
        <v>#VALUE!</v>
      </c>
      <c r="CS6" s="27" t="e">
        <f>CQ6+2</f>
        <v>#VALUE!</v>
      </c>
      <c r="CT6" s="27" t="str">
        <f>IF($C78&lt;&gt;"",$C78+$J$50,"")</f>
        <v/>
      </c>
      <c r="CU6" s="27" t="e">
        <f>CT6+1</f>
        <v>#VALUE!</v>
      </c>
      <c r="CV6" s="27" t="e">
        <f>CT6+2</f>
        <v>#VALUE!</v>
      </c>
      <c r="CW6" s="27" t="str">
        <f>IF($C79&lt;&gt;"",$C79+$J$50,"")</f>
        <v/>
      </c>
      <c r="CX6" s="27" t="e">
        <f>CW6+1</f>
        <v>#VALUE!</v>
      </c>
      <c r="CY6" s="27" t="e">
        <f>CW6+2</f>
        <v>#VALUE!</v>
      </c>
      <c r="CZ6" s="27" t="str">
        <f>IF($C80&lt;&gt;"",$C80+$J$50,"")</f>
        <v/>
      </c>
      <c r="DA6" s="27" t="e">
        <f>CZ6+1</f>
        <v>#VALUE!</v>
      </c>
      <c r="DB6" s="27" t="e">
        <f>CZ6+2</f>
        <v>#VALUE!</v>
      </c>
    </row>
    <row r="7" spans="1:106" ht="15.95" customHeight="1">
      <c r="A7" s="4" t="s">
        <v>1059</v>
      </c>
      <c r="B7" s="350"/>
      <c r="C7" s="351"/>
      <c r="D7" s="351"/>
      <c r="E7" s="351"/>
      <c r="F7" s="351"/>
      <c r="G7" s="351"/>
      <c r="I7" s="6"/>
      <c r="L7" s="250" t="s">
        <v>9</v>
      </c>
      <c r="M7" s="9">
        <v>20</v>
      </c>
      <c r="N7" s="125"/>
      <c r="O7" s="13"/>
      <c r="P7" s="1" t="s">
        <v>66</v>
      </c>
      <c r="Q7" s="1" t="str">
        <f>TEXT(Q6,"jjjj")</f>
        <v/>
      </c>
      <c r="R7" s="1"/>
      <c r="S7" s="1"/>
      <c r="T7" s="1" t="str">
        <f>TEXT(T6,"jjjj")</f>
        <v/>
      </c>
      <c r="U7" s="1"/>
      <c r="V7" s="1"/>
      <c r="W7" s="1" t="str">
        <f>TEXT(W6,"jjjj")</f>
        <v/>
      </c>
      <c r="X7" s="1"/>
      <c r="Y7" s="1"/>
      <c r="Z7" s="1" t="str">
        <f>TEXT(Z6,"jjjj")</f>
        <v/>
      </c>
      <c r="AA7" s="1"/>
      <c r="AB7" s="1"/>
      <c r="AC7" s="1" t="str">
        <f>TEXT(AC6,"jjjj")</f>
        <v/>
      </c>
      <c r="AD7" s="1"/>
      <c r="AE7" s="1"/>
      <c r="AF7" s="1" t="str">
        <f>TEXT(AF6,"jjjj")</f>
        <v/>
      </c>
      <c r="AG7" s="1"/>
      <c r="AI7" t="str">
        <f>TEXT(AI6,"jjjj")</f>
        <v/>
      </c>
      <c r="AL7" t="str">
        <f>TEXT(AL6,"jjjj")</f>
        <v/>
      </c>
      <c r="AN7" s="14"/>
      <c r="AO7" s="14" t="str">
        <f>TEXT(AO6,"jjjj")</f>
        <v/>
      </c>
      <c r="AP7" s="14"/>
      <c r="AQ7" s="14"/>
      <c r="AR7" s="14" t="str">
        <f>TEXT(AR6,"jjjj")</f>
        <v/>
      </c>
      <c r="AS7" s="14"/>
      <c r="AU7" s="14" t="str">
        <f>TEXT(AU6,"jjjj")</f>
        <v/>
      </c>
      <c r="AV7" s="14"/>
      <c r="AX7" s="14" t="str">
        <f>TEXT(AX6,"jjjj")</f>
        <v/>
      </c>
      <c r="AY7" s="14"/>
      <c r="BA7" s="14" t="str">
        <f>TEXT(BA6,"jjjj")</f>
        <v/>
      </c>
      <c r="BB7" s="14"/>
      <c r="BD7" s="14" t="str">
        <f>TEXT(BD6,"jjjj")</f>
        <v/>
      </c>
      <c r="BE7" s="14"/>
      <c r="BG7" s="14" t="str">
        <f>TEXT(BG6,"jjjj")</f>
        <v/>
      </c>
      <c r="BH7" s="14"/>
      <c r="BJ7" s="14" t="str">
        <f>TEXT(BJ6,"jjjj")</f>
        <v/>
      </c>
      <c r="BK7" s="14"/>
      <c r="BM7" s="14" t="str">
        <f>TEXT(BM6,"jjjj")</f>
        <v/>
      </c>
      <c r="BN7" s="14"/>
      <c r="BP7" s="14" t="str">
        <f>TEXT(BP6,"jjjj")</f>
        <v/>
      </c>
      <c r="BQ7" s="14"/>
      <c r="BS7" s="14" t="str">
        <f>TEXT(BS6,"jjjj")</f>
        <v/>
      </c>
      <c r="BT7" s="14"/>
      <c r="BV7" s="14" t="str">
        <f>TEXT(BV6,"jjjj")</f>
        <v/>
      </c>
      <c r="BW7" s="14"/>
      <c r="BY7" s="14" t="str">
        <f>TEXT(BY6,"jjjj")</f>
        <v/>
      </c>
      <c r="BZ7" s="14"/>
      <c r="CB7" s="14" t="str">
        <f>TEXT(CB6,"jjjj")</f>
        <v/>
      </c>
      <c r="CC7" s="14"/>
      <c r="CE7" s="14" t="str">
        <f>TEXT(CE6,"jjjj")</f>
        <v/>
      </c>
      <c r="CF7" s="14"/>
      <c r="CH7" s="14" t="str">
        <f>TEXT(CH6,"jjjj")</f>
        <v/>
      </c>
      <c r="CI7" s="14"/>
      <c r="CK7" s="14" t="str">
        <f>TEXT(CK6,"jjjj")</f>
        <v/>
      </c>
      <c r="CL7" s="14"/>
      <c r="CN7" s="14" t="str">
        <f>TEXT(CN6,"jjjj")</f>
        <v/>
      </c>
      <c r="CO7" s="14"/>
      <c r="CQ7" s="14" t="str">
        <f>TEXT(CQ6,"jjjj")</f>
        <v/>
      </c>
      <c r="CR7" s="14"/>
      <c r="CT7" s="14" t="str">
        <f>TEXT(CT6,"jjjj")</f>
        <v/>
      </c>
      <c r="CU7" s="14"/>
      <c r="CW7" s="14" t="str">
        <f>TEXT(CW6,"jjjj")</f>
        <v/>
      </c>
      <c r="CX7" s="14"/>
      <c r="CZ7" s="14" t="str">
        <f>TEXT(CZ6,"jjjj")</f>
        <v/>
      </c>
      <c r="DA7" s="14"/>
    </row>
    <row r="8" spans="1:106" ht="15" customHeight="1">
      <c r="A8" s="15"/>
      <c r="B8" s="137"/>
      <c r="C8" s="137"/>
      <c r="D8" s="137"/>
      <c r="E8" s="137"/>
      <c r="F8" s="137"/>
      <c r="G8" s="137"/>
      <c r="I8" s="323"/>
      <c r="J8" s="196"/>
      <c r="K8" s="6"/>
      <c r="L8" s="250" t="s">
        <v>10</v>
      </c>
      <c r="M8" s="9">
        <v>70</v>
      </c>
      <c r="N8" s="125"/>
      <c r="O8" s="13"/>
      <c r="P8" s="26">
        <v>37257</v>
      </c>
      <c r="Q8" s="27" t="e">
        <f t="shared" ref="Q8:AZ8" si="0">DATE(YEAR(Q6),1,1)</f>
        <v>#VALUE!</v>
      </c>
      <c r="R8" s="27" t="e">
        <f t="shared" si="0"/>
        <v>#VALUE!</v>
      </c>
      <c r="S8" s="27" t="e">
        <f t="shared" si="0"/>
        <v>#VALUE!</v>
      </c>
      <c r="T8" s="27" t="e">
        <f t="shared" si="0"/>
        <v>#VALUE!</v>
      </c>
      <c r="U8" s="27" t="e">
        <f t="shared" si="0"/>
        <v>#VALUE!</v>
      </c>
      <c r="V8" s="27" t="e">
        <f t="shared" si="0"/>
        <v>#VALUE!</v>
      </c>
      <c r="W8" s="27" t="e">
        <f t="shared" si="0"/>
        <v>#VALUE!</v>
      </c>
      <c r="X8" s="27" t="e">
        <f t="shared" si="0"/>
        <v>#VALUE!</v>
      </c>
      <c r="Y8" s="27" t="e">
        <f t="shared" si="0"/>
        <v>#VALUE!</v>
      </c>
      <c r="Z8" s="27" t="e">
        <f t="shared" si="0"/>
        <v>#VALUE!</v>
      </c>
      <c r="AA8" s="27" t="e">
        <f t="shared" si="0"/>
        <v>#VALUE!</v>
      </c>
      <c r="AB8" s="27" t="e">
        <f t="shared" si="0"/>
        <v>#VALUE!</v>
      </c>
      <c r="AC8" s="27" t="e">
        <f t="shared" si="0"/>
        <v>#VALUE!</v>
      </c>
      <c r="AD8" s="27" t="e">
        <f t="shared" si="0"/>
        <v>#VALUE!</v>
      </c>
      <c r="AE8" s="27" t="e">
        <f t="shared" si="0"/>
        <v>#VALUE!</v>
      </c>
      <c r="AF8" s="27" t="e">
        <f t="shared" si="0"/>
        <v>#VALUE!</v>
      </c>
      <c r="AG8" s="27" t="e">
        <f t="shared" si="0"/>
        <v>#VALUE!</v>
      </c>
      <c r="AH8" s="27" t="e">
        <f t="shared" si="0"/>
        <v>#VALUE!</v>
      </c>
      <c r="AI8" s="27" t="e">
        <f t="shared" si="0"/>
        <v>#VALUE!</v>
      </c>
      <c r="AJ8" s="27" t="e">
        <f t="shared" si="0"/>
        <v>#VALUE!</v>
      </c>
      <c r="AK8" s="27" t="e">
        <f t="shared" si="0"/>
        <v>#VALUE!</v>
      </c>
      <c r="AL8" s="27" t="e">
        <f t="shared" si="0"/>
        <v>#VALUE!</v>
      </c>
      <c r="AM8" s="27" t="e">
        <f t="shared" si="0"/>
        <v>#VALUE!</v>
      </c>
      <c r="AN8" s="27" t="e">
        <f t="shared" si="0"/>
        <v>#VALUE!</v>
      </c>
      <c r="AO8" s="27" t="e">
        <f t="shared" si="0"/>
        <v>#VALUE!</v>
      </c>
      <c r="AP8" s="27" t="e">
        <f t="shared" si="0"/>
        <v>#VALUE!</v>
      </c>
      <c r="AQ8" s="27" t="e">
        <f t="shared" si="0"/>
        <v>#VALUE!</v>
      </c>
      <c r="AR8" s="27" t="e">
        <f t="shared" si="0"/>
        <v>#VALUE!</v>
      </c>
      <c r="AS8" s="27" t="e">
        <f t="shared" si="0"/>
        <v>#VALUE!</v>
      </c>
      <c r="AT8" s="27" t="e">
        <f t="shared" si="0"/>
        <v>#VALUE!</v>
      </c>
      <c r="AU8" s="27" t="e">
        <f t="shared" si="0"/>
        <v>#VALUE!</v>
      </c>
      <c r="AV8" s="27" t="e">
        <f t="shared" si="0"/>
        <v>#VALUE!</v>
      </c>
      <c r="AW8" s="27" t="e">
        <f t="shared" si="0"/>
        <v>#VALUE!</v>
      </c>
      <c r="AX8" s="27" t="e">
        <f t="shared" si="0"/>
        <v>#VALUE!</v>
      </c>
      <c r="AY8" s="27" t="e">
        <f t="shared" si="0"/>
        <v>#VALUE!</v>
      </c>
      <c r="AZ8" s="27" t="e">
        <f t="shared" si="0"/>
        <v>#VALUE!</v>
      </c>
      <c r="BA8" s="27" t="e">
        <f t="shared" ref="BA8:BF8" si="1">DATE(YEAR(BA6),1,1)</f>
        <v>#VALUE!</v>
      </c>
      <c r="BB8" s="27" t="e">
        <f t="shared" si="1"/>
        <v>#VALUE!</v>
      </c>
      <c r="BC8" s="27" t="e">
        <f t="shared" si="1"/>
        <v>#VALUE!</v>
      </c>
      <c r="BD8" s="27" t="e">
        <f t="shared" si="1"/>
        <v>#VALUE!</v>
      </c>
      <c r="BE8" s="27" t="e">
        <f t="shared" si="1"/>
        <v>#VALUE!</v>
      </c>
      <c r="BF8" s="27" t="e">
        <f t="shared" si="1"/>
        <v>#VALUE!</v>
      </c>
      <c r="BG8" s="27" t="e">
        <f t="shared" ref="BG8:DB8" si="2">DATE(YEAR(BG6),1,1)</f>
        <v>#VALUE!</v>
      </c>
      <c r="BH8" s="27" t="e">
        <f t="shared" si="2"/>
        <v>#VALUE!</v>
      </c>
      <c r="BI8" s="27" t="e">
        <f t="shared" si="2"/>
        <v>#VALUE!</v>
      </c>
      <c r="BJ8" s="27" t="e">
        <f t="shared" si="2"/>
        <v>#VALUE!</v>
      </c>
      <c r="BK8" s="27" t="e">
        <f t="shared" si="2"/>
        <v>#VALUE!</v>
      </c>
      <c r="BL8" s="27" t="e">
        <f t="shared" si="2"/>
        <v>#VALUE!</v>
      </c>
      <c r="BM8" s="27" t="e">
        <f t="shared" si="2"/>
        <v>#VALUE!</v>
      </c>
      <c r="BN8" s="27" t="e">
        <f t="shared" si="2"/>
        <v>#VALUE!</v>
      </c>
      <c r="BO8" s="27" t="e">
        <f t="shared" si="2"/>
        <v>#VALUE!</v>
      </c>
      <c r="BP8" s="27" t="e">
        <f t="shared" si="2"/>
        <v>#VALUE!</v>
      </c>
      <c r="BQ8" s="27" t="e">
        <f t="shared" si="2"/>
        <v>#VALUE!</v>
      </c>
      <c r="BR8" s="27" t="e">
        <f t="shared" si="2"/>
        <v>#VALUE!</v>
      </c>
      <c r="BS8" s="27" t="e">
        <f t="shared" si="2"/>
        <v>#VALUE!</v>
      </c>
      <c r="BT8" s="27" t="e">
        <f t="shared" si="2"/>
        <v>#VALUE!</v>
      </c>
      <c r="BU8" s="27" t="e">
        <f t="shared" si="2"/>
        <v>#VALUE!</v>
      </c>
      <c r="BV8" s="27" t="e">
        <f t="shared" si="2"/>
        <v>#VALUE!</v>
      </c>
      <c r="BW8" s="27" t="e">
        <f t="shared" si="2"/>
        <v>#VALUE!</v>
      </c>
      <c r="BX8" s="27" t="e">
        <f t="shared" si="2"/>
        <v>#VALUE!</v>
      </c>
      <c r="BY8" s="27" t="e">
        <f t="shared" si="2"/>
        <v>#VALUE!</v>
      </c>
      <c r="BZ8" s="27" t="e">
        <f t="shared" si="2"/>
        <v>#VALUE!</v>
      </c>
      <c r="CA8" s="27" t="e">
        <f t="shared" si="2"/>
        <v>#VALUE!</v>
      </c>
      <c r="CB8" s="27" t="e">
        <f t="shared" si="2"/>
        <v>#VALUE!</v>
      </c>
      <c r="CC8" s="27" t="e">
        <f t="shared" si="2"/>
        <v>#VALUE!</v>
      </c>
      <c r="CD8" s="27" t="e">
        <f t="shared" si="2"/>
        <v>#VALUE!</v>
      </c>
      <c r="CE8" s="27" t="e">
        <f t="shared" si="2"/>
        <v>#VALUE!</v>
      </c>
      <c r="CF8" s="27" t="e">
        <f t="shared" si="2"/>
        <v>#VALUE!</v>
      </c>
      <c r="CG8" s="27" t="e">
        <f t="shared" si="2"/>
        <v>#VALUE!</v>
      </c>
      <c r="CH8" s="27" t="e">
        <f t="shared" si="2"/>
        <v>#VALUE!</v>
      </c>
      <c r="CI8" s="27" t="e">
        <f t="shared" si="2"/>
        <v>#VALUE!</v>
      </c>
      <c r="CJ8" s="27" t="e">
        <f t="shared" si="2"/>
        <v>#VALUE!</v>
      </c>
      <c r="CK8" s="27" t="e">
        <f t="shared" si="2"/>
        <v>#VALUE!</v>
      </c>
      <c r="CL8" s="27" t="e">
        <f t="shared" si="2"/>
        <v>#VALUE!</v>
      </c>
      <c r="CM8" s="27" t="e">
        <f t="shared" si="2"/>
        <v>#VALUE!</v>
      </c>
      <c r="CN8" s="27" t="e">
        <f t="shared" si="2"/>
        <v>#VALUE!</v>
      </c>
      <c r="CO8" s="27" t="e">
        <f t="shared" si="2"/>
        <v>#VALUE!</v>
      </c>
      <c r="CP8" s="27" t="e">
        <f t="shared" si="2"/>
        <v>#VALUE!</v>
      </c>
      <c r="CQ8" s="27" t="e">
        <f t="shared" si="2"/>
        <v>#VALUE!</v>
      </c>
      <c r="CR8" s="27" t="e">
        <f t="shared" si="2"/>
        <v>#VALUE!</v>
      </c>
      <c r="CS8" s="27" t="e">
        <f t="shared" si="2"/>
        <v>#VALUE!</v>
      </c>
      <c r="CT8" s="27" t="e">
        <f t="shared" si="2"/>
        <v>#VALUE!</v>
      </c>
      <c r="CU8" s="27" t="e">
        <f t="shared" si="2"/>
        <v>#VALUE!</v>
      </c>
      <c r="CV8" s="27" t="e">
        <f t="shared" si="2"/>
        <v>#VALUE!</v>
      </c>
      <c r="CW8" s="27" t="e">
        <f t="shared" si="2"/>
        <v>#VALUE!</v>
      </c>
      <c r="CX8" s="27" t="e">
        <f t="shared" si="2"/>
        <v>#VALUE!</v>
      </c>
      <c r="CY8" s="27" t="e">
        <f t="shared" si="2"/>
        <v>#VALUE!</v>
      </c>
      <c r="CZ8" s="27" t="e">
        <f t="shared" si="2"/>
        <v>#VALUE!</v>
      </c>
      <c r="DA8" s="27" t="e">
        <f t="shared" si="2"/>
        <v>#VALUE!</v>
      </c>
      <c r="DB8" s="27" t="e">
        <f t="shared" si="2"/>
        <v>#VALUE!</v>
      </c>
    </row>
    <row r="9" spans="1:106" ht="15" customHeight="1">
      <c r="A9" s="18" t="s">
        <v>971</v>
      </c>
      <c r="B9" s="16"/>
      <c r="C9" s="1"/>
      <c r="D9" s="19" t="s">
        <v>977</v>
      </c>
      <c r="E9" s="148"/>
      <c r="F9" s="19" t="s">
        <v>966</v>
      </c>
      <c r="G9" s="148"/>
      <c r="I9" s="323"/>
      <c r="J9" s="64"/>
      <c r="K9" s="6"/>
      <c r="L9" s="251" t="s">
        <v>972</v>
      </c>
      <c r="M9" s="21">
        <v>110</v>
      </c>
      <c r="N9" s="126"/>
      <c r="O9" s="17"/>
      <c r="P9" s="26">
        <v>37377</v>
      </c>
      <c r="Q9" s="27" t="e">
        <f t="shared" ref="Q9:AZ9" si="3">DATE(YEAR(Q6),5,1)</f>
        <v>#VALUE!</v>
      </c>
      <c r="R9" s="27" t="e">
        <f t="shared" si="3"/>
        <v>#VALUE!</v>
      </c>
      <c r="S9" s="27" t="e">
        <f t="shared" si="3"/>
        <v>#VALUE!</v>
      </c>
      <c r="T9" s="27" t="e">
        <f t="shared" si="3"/>
        <v>#VALUE!</v>
      </c>
      <c r="U9" s="27" t="e">
        <f t="shared" si="3"/>
        <v>#VALUE!</v>
      </c>
      <c r="V9" s="27" t="e">
        <f t="shared" si="3"/>
        <v>#VALUE!</v>
      </c>
      <c r="W9" s="27" t="e">
        <f t="shared" si="3"/>
        <v>#VALUE!</v>
      </c>
      <c r="X9" s="27" t="e">
        <f t="shared" si="3"/>
        <v>#VALUE!</v>
      </c>
      <c r="Y9" s="27" t="e">
        <f t="shared" si="3"/>
        <v>#VALUE!</v>
      </c>
      <c r="Z9" s="27" t="e">
        <f t="shared" si="3"/>
        <v>#VALUE!</v>
      </c>
      <c r="AA9" s="27" t="e">
        <f t="shared" si="3"/>
        <v>#VALUE!</v>
      </c>
      <c r="AB9" s="27" t="e">
        <f t="shared" si="3"/>
        <v>#VALUE!</v>
      </c>
      <c r="AC9" s="27" t="e">
        <f t="shared" si="3"/>
        <v>#VALUE!</v>
      </c>
      <c r="AD9" s="27" t="e">
        <f t="shared" si="3"/>
        <v>#VALUE!</v>
      </c>
      <c r="AE9" s="27" t="e">
        <f t="shared" si="3"/>
        <v>#VALUE!</v>
      </c>
      <c r="AF9" s="27" t="e">
        <f t="shared" si="3"/>
        <v>#VALUE!</v>
      </c>
      <c r="AG9" s="27" t="e">
        <f t="shared" si="3"/>
        <v>#VALUE!</v>
      </c>
      <c r="AH9" s="27" t="e">
        <f t="shared" si="3"/>
        <v>#VALUE!</v>
      </c>
      <c r="AI9" s="27" t="e">
        <f t="shared" si="3"/>
        <v>#VALUE!</v>
      </c>
      <c r="AJ9" s="27" t="e">
        <f t="shared" si="3"/>
        <v>#VALUE!</v>
      </c>
      <c r="AK9" s="27" t="e">
        <f t="shared" si="3"/>
        <v>#VALUE!</v>
      </c>
      <c r="AL9" s="27" t="e">
        <f t="shared" si="3"/>
        <v>#VALUE!</v>
      </c>
      <c r="AM9" s="27" t="e">
        <f t="shared" si="3"/>
        <v>#VALUE!</v>
      </c>
      <c r="AN9" s="27" t="e">
        <f t="shared" si="3"/>
        <v>#VALUE!</v>
      </c>
      <c r="AO9" s="27" t="e">
        <f t="shared" si="3"/>
        <v>#VALUE!</v>
      </c>
      <c r="AP9" s="27" t="e">
        <f t="shared" si="3"/>
        <v>#VALUE!</v>
      </c>
      <c r="AQ9" s="27" t="e">
        <f t="shared" si="3"/>
        <v>#VALUE!</v>
      </c>
      <c r="AR9" s="27" t="e">
        <f t="shared" si="3"/>
        <v>#VALUE!</v>
      </c>
      <c r="AS9" s="27" t="e">
        <f t="shared" si="3"/>
        <v>#VALUE!</v>
      </c>
      <c r="AT9" s="27" t="e">
        <f t="shared" si="3"/>
        <v>#VALUE!</v>
      </c>
      <c r="AU9" s="27" t="e">
        <f t="shared" si="3"/>
        <v>#VALUE!</v>
      </c>
      <c r="AV9" s="27" t="e">
        <f t="shared" si="3"/>
        <v>#VALUE!</v>
      </c>
      <c r="AW9" s="27" t="e">
        <f t="shared" si="3"/>
        <v>#VALUE!</v>
      </c>
      <c r="AX9" s="27" t="e">
        <f t="shared" si="3"/>
        <v>#VALUE!</v>
      </c>
      <c r="AY9" s="27" t="e">
        <f t="shared" si="3"/>
        <v>#VALUE!</v>
      </c>
      <c r="AZ9" s="27" t="e">
        <f t="shared" si="3"/>
        <v>#VALUE!</v>
      </c>
      <c r="BA9" s="27" t="e">
        <f t="shared" ref="BA9:BF9" si="4">DATE(YEAR(BA6),5,1)</f>
        <v>#VALUE!</v>
      </c>
      <c r="BB9" s="27" t="e">
        <f t="shared" si="4"/>
        <v>#VALUE!</v>
      </c>
      <c r="BC9" s="27" t="e">
        <f t="shared" si="4"/>
        <v>#VALUE!</v>
      </c>
      <c r="BD9" s="27" t="e">
        <f t="shared" si="4"/>
        <v>#VALUE!</v>
      </c>
      <c r="BE9" s="27" t="e">
        <f t="shared" si="4"/>
        <v>#VALUE!</v>
      </c>
      <c r="BF9" s="27" t="e">
        <f t="shared" si="4"/>
        <v>#VALUE!</v>
      </c>
      <c r="BG9" s="27" t="e">
        <f t="shared" ref="BG9:DB9" si="5">DATE(YEAR(BG6),5,1)</f>
        <v>#VALUE!</v>
      </c>
      <c r="BH9" s="27" t="e">
        <f t="shared" si="5"/>
        <v>#VALUE!</v>
      </c>
      <c r="BI9" s="27" t="e">
        <f t="shared" si="5"/>
        <v>#VALUE!</v>
      </c>
      <c r="BJ9" s="27" t="e">
        <f t="shared" si="5"/>
        <v>#VALUE!</v>
      </c>
      <c r="BK9" s="27" t="e">
        <f t="shared" si="5"/>
        <v>#VALUE!</v>
      </c>
      <c r="BL9" s="27" t="e">
        <f t="shared" si="5"/>
        <v>#VALUE!</v>
      </c>
      <c r="BM9" s="27" t="e">
        <f t="shared" si="5"/>
        <v>#VALUE!</v>
      </c>
      <c r="BN9" s="27" t="e">
        <f t="shared" si="5"/>
        <v>#VALUE!</v>
      </c>
      <c r="BO9" s="27" t="e">
        <f t="shared" si="5"/>
        <v>#VALUE!</v>
      </c>
      <c r="BP9" s="27" t="e">
        <f t="shared" si="5"/>
        <v>#VALUE!</v>
      </c>
      <c r="BQ9" s="27" t="e">
        <f t="shared" si="5"/>
        <v>#VALUE!</v>
      </c>
      <c r="BR9" s="27" t="e">
        <f t="shared" si="5"/>
        <v>#VALUE!</v>
      </c>
      <c r="BS9" s="27" t="e">
        <f t="shared" si="5"/>
        <v>#VALUE!</v>
      </c>
      <c r="BT9" s="27" t="e">
        <f t="shared" si="5"/>
        <v>#VALUE!</v>
      </c>
      <c r="BU9" s="27" t="e">
        <f t="shared" si="5"/>
        <v>#VALUE!</v>
      </c>
      <c r="BV9" s="27" t="e">
        <f t="shared" si="5"/>
        <v>#VALUE!</v>
      </c>
      <c r="BW9" s="27" t="e">
        <f t="shared" si="5"/>
        <v>#VALUE!</v>
      </c>
      <c r="BX9" s="27" t="e">
        <f t="shared" si="5"/>
        <v>#VALUE!</v>
      </c>
      <c r="BY9" s="27" t="e">
        <f t="shared" si="5"/>
        <v>#VALUE!</v>
      </c>
      <c r="BZ9" s="27" t="e">
        <f t="shared" si="5"/>
        <v>#VALUE!</v>
      </c>
      <c r="CA9" s="27" t="e">
        <f t="shared" si="5"/>
        <v>#VALUE!</v>
      </c>
      <c r="CB9" s="27" t="e">
        <f t="shared" si="5"/>
        <v>#VALUE!</v>
      </c>
      <c r="CC9" s="27" t="e">
        <f t="shared" si="5"/>
        <v>#VALUE!</v>
      </c>
      <c r="CD9" s="27" t="e">
        <f t="shared" si="5"/>
        <v>#VALUE!</v>
      </c>
      <c r="CE9" s="27" t="e">
        <f t="shared" si="5"/>
        <v>#VALUE!</v>
      </c>
      <c r="CF9" s="27" t="e">
        <f t="shared" si="5"/>
        <v>#VALUE!</v>
      </c>
      <c r="CG9" s="27" t="e">
        <f t="shared" si="5"/>
        <v>#VALUE!</v>
      </c>
      <c r="CH9" s="27" t="e">
        <f t="shared" si="5"/>
        <v>#VALUE!</v>
      </c>
      <c r="CI9" s="27" t="e">
        <f t="shared" si="5"/>
        <v>#VALUE!</v>
      </c>
      <c r="CJ9" s="27" t="e">
        <f t="shared" si="5"/>
        <v>#VALUE!</v>
      </c>
      <c r="CK9" s="27" t="e">
        <f t="shared" si="5"/>
        <v>#VALUE!</v>
      </c>
      <c r="CL9" s="27" t="e">
        <f t="shared" si="5"/>
        <v>#VALUE!</v>
      </c>
      <c r="CM9" s="27" t="e">
        <f t="shared" si="5"/>
        <v>#VALUE!</v>
      </c>
      <c r="CN9" s="27" t="e">
        <f t="shared" si="5"/>
        <v>#VALUE!</v>
      </c>
      <c r="CO9" s="27" t="e">
        <f t="shared" si="5"/>
        <v>#VALUE!</v>
      </c>
      <c r="CP9" s="27" t="e">
        <f t="shared" si="5"/>
        <v>#VALUE!</v>
      </c>
      <c r="CQ9" s="27" t="e">
        <f t="shared" si="5"/>
        <v>#VALUE!</v>
      </c>
      <c r="CR9" s="27" t="e">
        <f t="shared" si="5"/>
        <v>#VALUE!</v>
      </c>
      <c r="CS9" s="27" t="e">
        <f t="shared" si="5"/>
        <v>#VALUE!</v>
      </c>
      <c r="CT9" s="27" t="e">
        <f t="shared" si="5"/>
        <v>#VALUE!</v>
      </c>
      <c r="CU9" s="27" t="e">
        <f t="shared" si="5"/>
        <v>#VALUE!</v>
      </c>
      <c r="CV9" s="27" t="e">
        <f t="shared" si="5"/>
        <v>#VALUE!</v>
      </c>
      <c r="CW9" s="27" t="e">
        <f t="shared" si="5"/>
        <v>#VALUE!</v>
      </c>
      <c r="CX9" s="27" t="e">
        <f t="shared" si="5"/>
        <v>#VALUE!</v>
      </c>
      <c r="CY9" s="27" t="e">
        <f t="shared" si="5"/>
        <v>#VALUE!</v>
      </c>
      <c r="CZ9" s="27" t="e">
        <f t="shared" si="5"/>
        <v>#VALUE!</v>
      </c>
      <c r="DA9" s="27" t="e">
        <f t="shared" si="5"/>
        <v>#VALUE!</v>
      </c>
      <c r="DB9" s="27" t="e">
        <f t="shared" si="5"/>
        <v>#VALUE!</v>
      </c>
    </row>
    <row r="10" spans="1:106" ht="15" customHeight="1">
      <c r="A10" s="18" t="str">
        <f>IF(L71=TRUE,"PU : avis DGATLP","")</f>
        <v/>
      </c>
      <c r="B10" s="19" t="str">
        <f>IF(L71=TRUE,"Mail le ","")</f>
        <v/>
      </c>
      <c r="C10" s="107"/>
      <c r="D10" s="19" t="str">
        <f>IF(L71=TRUE,"Lettre le ","")</f>
        <v/>
      </c>
      <c r="E10" s="244" t="str">
        <f>IF(L71=TRUE,IF(E9&lt;&gt;"",E9,""),"")</f>
        <v/>
      </c>
      <c r="F10" s="19" t="str">
        <f>IF(L71=TRUE,"Reçu le ","")</f>
        <v/>
      </c>
      <c r="G10" s="107"/>
      <c r="I10" s="323"/>
      <c r="J10" s="64"/>
      <c r="K10" s="20"/>
      <c r="L10" s="127" t="s">
        <v>27</v>
      </c>
      <c r="M10" s="24">
        <v>90</v>
      </c>
      <c r="N10" s="128" t="s">
        <v>964</v>
      </c>
      <c r="P10" s="26">
        <v>37458</v>
      </c>
      <c r="Q10" s="27" t="e">
        <f t="shared" ref="Q10:AZ10" si="6">DATE(YEAR(Q6),7,21)</f>
        <v>#VALUE!</v>
      </c>
      <c r="R10" s="27" t="e">
        <f t="shared" si="6"/>
        <v>#VALUE!</v>
      </c>
      <c r="S10" s="27" t="e">
        <f t="shared" si="6"/>
        <v>#VALUE!</v>
      </c>
      <c r="T10" s="27" t="e">
        <f t="shared" si="6"/>
        <v>#VALUE!</v>
      </c>
      <c r="U10" s="27" t="e">
        <f t="shared" si="6"/>
        <v>#VALUE!</v>
      </c>
      <c r="V10" s="27" t="e">
        <f t="shared" si="6"/>
        <v>#VALUE!</v>
      </c>
      <c r="W10" s="27" t="e">
        <f t="shared" si="6"/>
        <v>#VALUE!</v>
      </c>
      <c r="X10" s="27" t="e">
        <f t="shared" si="6"/>
        <v>#VALUE!</v>
      </c>
      <c r="Y10" s="27" t="e">
        <f t="shared" si="6"/>
        <v>#VALUE!</v>
      </c>
      <c r="Z10" s="27" t="e">
        <f t="shared" si="6"/>
        <v>#VALUE!</v>
      </c>
      <c r="AA10" s="27" t="e">
        <f t="shared" si="6"/>
        <v>#VALUE!</v>
      </c>
      <c r="AB10" s="27" t="e">
        <f t="shared" si="6"/>
        <v>#VALUE!</v>
      </c>
      <c r="AC10" s="27" t="e">
        <f t="shared" si="6"/>
        <v>#VALUE!</v>
      </c>
      <c r="AD10" s="27" t="e">
        <f t="shared" si="6"/>
        <v>#VALUE!</v>
      </c>
      <c r="AE10" s="27" t="e">
        <f t="shared" si="6"/>
        <v>#VALUE!</v>
      </c>
      <c r="AF10" s="27" t="e">
        <f t="shared" si="6"/>
        <v>#VALUE!</v>
      </c>
      <c r="AG10" s="27" t="e">
        <f t="shared" si="6"/>
        <v>#VALUE!</v>
      </c>
      <c r="AH10" s="27" t="e">
        <f t="shared" si="6"/>
        <v>#VALUE!</v>
      </c>
      <c r="AI10" s="27" t="e">
        <f t="shared" si="6"/>
        <v>#VALUE!</v>
      </c>
      <c r="AJ10" s="27" t="e">
        <f t="shared" si="6"/>
        <v>#VALUE!</v>
      </c>
      <c r="AK10" s="27" t="e">
        <f t="shared" si="6"/>
        <v>#VALUE!</v>
      </c>
      <c r="AL10" s="27" t="e">
        <f t="shared" si="6"/>
        <v>#VALUE!</v>
      </c>
      <c r="AM10" s="27" t="e">
        <f t="shared" si="6"/>
        <v>#VALUE!</v>
      </c>
      <c r="AN10" s="27" t="e">
        <f t="shared" si="6"/>
        <v>#VALUE!</v>
      </c>
      <c r="AO10" s="27" t="e">
        <f t="shared" si="6"/>
        <v>#VALUE!</v>
      </c>
      <c r="AP10" s="27" t="e">
        <f t="shared" si="6"/>
        <v>#VALUE!</v>
      </c>
      <c r="AQ10" s="27" t="e">
        <f t="shared" si="6"/>
        <v>#VALUE!</v>
      </c>
      <c r="AR10" s="27" t="e">
        <f t="shared" si="6"/>
        <v>#VALUE!</v>
      </c>
      <c r="AS10" s="27" t="e">
        <f t="shared" si="6"/>
        <v>#VALUE!</v>
      </c>
      <c r="AT10" s="27" t="e">
        <f t="shared" si="6"/>
        <v>#VALUE!</v>
      </c>
      <c r="AU10" s="27" t="e">
        <f t="shared" si="6"/>
        <v>#VALUE!</v>
      </c>
      <c r="AV10" s="27" t="e">
        <f t="shared" si="6"/>
        <v>#VALUE!</v>
      </c>
      <c r="AW10" s="27" t="e">
        <f t="shared" si="6"/>
        <v>#VALUE!</v>
      </c>
      <c r="AX10" s="27" t="e">
        <f t="shared" si="6"/>
        <v>#VALUE!</v>
      </c>
      <c r="AY10" s="27" t="e">
        <f t="shared" si="6"/>
        <v>#VALUE!</v>
      </c>
      <c r="AZ10" s="27" t="e">
        <f t="shared" si="6"/>
        <v>#VALUE!</v>
      </c>
      <c r="BA10" s="27" t="e">
        <f t="shared" ref="BA10:BF10" si="7">DATE(YEAR(BA6),7,21)</f>
        <v>#VALUE!</v>
      </c>
      <c r="BB10" s="27" t="e">
        <f t="shared" si="7"/>
        <v>#VALUE!</v>
      </c>
      <c r="BC10" s="27" t="e">
        <f t="shared" si="7"/>
        <v>#VALUE!</v>
      </c>
      <c r="BD10" s="27" t="e">
        <f t="shared" si="7"/>
        <v>#VALUE!</v>
      </c>
      <c r="BE10" s="27" t="e">
        <f t="shared" si="7"/>
        <v>#VALUE!</v>
      </c>
      <c r="BF10" s="27" t="e">
        <f t="shared" si="7"/>
        <v>#VALUE!</v>
      </c>
      <c r="BG10" s="27" t="e">
        <f t="shared" ref="BG10:DB10" si="8">DATE(YEAR(BG6),7,21)</f>
        <v>#VALUE!</v>
      </c>
      <c r="BH10" s="27" t="e">
        <f t="shared" si="8"/>
        <v>#VALUE!</v>
      </c>
      <c r="BI10" s="27" t="e">
        <f t="shared" si="8"/>
        <v>#VALUE!</v>
      </c>
      <c r="BJ10" s="27" t="e">
        <f t="shared" si="8"/>
        <v>#VALUE!</v>
      </c>
      <c r="BK10" s="27" t="e">
        <f t="shared" si="8"/>
        <v>#VALUE!</v>
      </c>
      <c r="BL10" s="27" t="e">
        <f t="shared" si="8"/>
        <v>#VALUE!</v>
      </c>
      <c r="BM10" s="27" t="e">
        <f t="shared" si="8"/>
        <v>#VALUE!</v>
      </c>
      <c r="BN10" s="27" t="e">
        <f t="shared" si="8"/>
        <v>#VALUE!</v>
      </c>
      <c r="BO10" s="27" t="e">
        <f t="shared" si="8"/>
        <v>#VALUE!</v>
      </c>
      <c r="BP10" s="27" t="e">
        <f t="shared" si="8"/>
        <v>#VALUE!</v>
      </c>
      <c r="BQ10" s="27" t="e">
        <f t="shared" si="8"/>
        <v>#VALUE!</v>
      </c>
      <c r="BR10" s="27" t="e">
        <f t="shared" si="8"/>
        <v>#VALUE!</v>
      </c>
      <c r="BS10" s="27" t="e">
        <f t="shared" si="8"/>
        <v>#VALUE!</v>
      </c>
      <c r="BT10" s="27" t="e">
        <f t="shared" si="8"/>
        <v>#VALUE!</v>
      </c>
      <c r="BU10" s="27" t="e">
        <f t="shared" si="8"/>
        <v>#VALUE!</v>
      </c>
      <c r="BV10" s="27" t="e">
        <f t="shared" si="8"/>
        <v>#VALUE!</v>
      </c>
      <c r="BW10" s="27" t="e">
        <f t="shared" si="8"/>
        <v>#VALUE!</v>
      </c>
      <c r="BX10" s="27" t="e">
        <f t="shared" si="8"/>
        <v>#VALUE!</v>
      </c>
      <c r="BY10" s="27" t="e">
        <f t="shared" si="8"/>
        <v>#VALUE!</v>
      </c>
      <c r="BZ10" s="27" t="e">
        <f t="shared" si="8"/>
        <v>#VALUE!</v>
      </c>
      <c r="CA10" s="27" t="e">
        <f t="shared" si="8"/>
        <v>#VALUE!</v>
      </c>
      <c r="CB10" s="27" t="e">
        <f t="shared" si="8"/>
        <v>#VALUE!</v>
      </c>
      <c r="CC10" s="27" t="e">
        <f t="shared" si="8"/>
        <v>#VALUE!</v>
      </c>
      <c r="CD10" s="27" t="e">
        <f t="shared" si="8"/>
        <v>#VALUE!</v>
      </c>
      <c r="CE10" s="27" t="e">
        <f t="shared" si="8"/>
        <v>#VALUE!</v>
      </c>
      <c r="CF10" s="27" t="e">
        <f t="shared" si="8"/>
        <v>#VALUE!</v>
      </c>
      <c r="CG10" s="27" t="e">
        <f t="shared" si="8"/>
        <v>#VALUE!</v>
      </c>
      <c r="CH10" s="27" t="e">
        <f t="shared" si="8"/>
        <v>#VALUE!</v>
      </c>
      <c r="CI10" s="27" t="e">
        <f t="shared" si="8"/>
        <v>#VALUE!</v>
      </c>
      <c r="CJ10" s="27" t="e">
        <f t="shared" si="8"/>
        <v>#VALUE!</v>
      </c>
      <c r="CK10" s="27" t="e">
        <f t="shared" si="8"/>
        <v>#VALUE!</v>
      </c>
      <c r="CL10" s="27" t="e">
        <f t="shared" si="8"/>
        <v>#VALUE!</v>
      </c>
      <c r="CM10" s="27" t="e">
        <f t="shared" si="8"/>
        <v>#VALUE!</v>
      </c>
      <c r="CN10" s="27" t="e">
        <f t="shared" si="8"/>
        <v>#VALUE!</v>
      </c>
      <c r="CO10" s="27" t="e">
        <f t="shared" si="8"/>
        <v>#VALUE!</v>
      </c>
      <c r="CP10" s="27" t="e">
        <f t="shared" si="8"/>
        <v>#VALUE!</v>
      </c>
      <c r="CQ10" s="27" t="e">
        <f t="shared" si="8"/>
        <v>#VALUE!</v>
      </c>
      <c r="CR10" s="27" t="e">
        <f t="shared" si="8"/>
        <v>#VALUE!</v>
      </c>
      <c r="CS10" s="27" t="e">
        <f t="shared" si="8"/>
        <v>#VALUE!</v>
      </c>
      <c r="CT10" s="27" t="e">
        <f t="shared" si="8"/>
        <v>#VALUE!</v>
      </c>
      <c r="CU10" s="27" t="e">
        <f t="shared" si="8"/>
        <v>#VALUE!</v>
      </c>
      <c r="CV10" s="27" t="e">
        <f t="shared" si="8"/>
        <v>#VALUE!</v>
      </c>
      <c r="CW10" s="27" t="e">
        <f t="shared" si="8"/>
        <v>#VALUE!</v>
      </c>
      <c r="CX10" s="27" t="e">
        <f t="shared" si="8"/>
        <v>#VALUE!</v>
      </c>
      <c r="CY10" s="27" t="e">
        <f t="shared" si="8"/>
        <v>#VALUE!</v>
      </c>
      <c r="CZ10" s="27" t="e">
        <f t="shared" si="8"/>
        <v>#VALUE!</v>
      </c>
      <c r="DA10" s="27" t="e">
        <f t="shared" si="8"/>
        <v>#VALUE!</v>
      </c>
      <c r="DB10" s="27" t="e">
        <f t="shared" si="8"/>
        <v>#VALUE!</v>
      </c>
    </row>
    <row r="11" spans="1:106" ht="15" customHeight="1" thickBot="1">
      <c r="A11" s="175"/>
      <c r="B11" s="167"/>
      <c r="C11" s="167"/>
      <c r="D11" s="167"/>
      <c r="E11" s="167"/>
      <c r="F11" s="167"/>
      <c r="G11" s="167"/>
      <c r="I11" s="201"/>
      <c r="J11" s="64"/>
      <c r="L11" s="129" t="s">
        <v>985</v>
      </c>
      <c r="M11" s="24">
        <v>20</v>
      </c>
      <c r="N11" s="130" t="s">
        <v>965</v>
      </c>
      <c r="P11" s="26">
        <v>37483</v>
      </c>
      <c r="Q11" s="27" t="e">
        <f t="shared" ref="Q11:AZ11" si="9">DATE(YEAR(Q6),8,15)</f>
        <v>#VALUE!</v>
      </c>
      <c r="R11" s="27" t="e">
        <f t="shared" si="9"/>
        <v>#VALUE!</v>
      </c>
      <c r="S11" s="27" t="e">
        <f t="shared" si="9"/>
        <v>#VALUE!</v>
      </c>
      <c r="T11" s="27" t="e">
        <f t="shared" si="9"/>
        <v>#VALUE!</v>
      </c>
      <c r="U11" s="27" t="e">
        <f t="shared" si="9"/>
        <v>#VALUE!</v>
      </c>
      <c r="V11" s="27" t="e">
        <f t="shared" si="9"/>
        <v>#VALUE!</v>
      </c>
      <c r="W11" s="27" t="e">
        <f t="shared" si="9"/>
        <v>#VALUE!</v>
      </c>
      <c r="X11" s="27" t="e">
        <f t="shared" si="9"/>
        <v>#VALUE!</v>
      </c>
      <c r="Y11" s="27" t="e">
        <f t="shared" si="9"/>
        <v>#VALUE!</v>
      </c>
      <c r="Z11" s="27" t="e">
        <f t="shared" si="9"/>
        <v>#VALUE!</v>
      </c>
      <c r="AA11" s="27" t="e">
        <f t="shared" si="9"/>
        <v>#VALUE!</v>
      </c>
      <c r="AB11" s="27" t="e">
        <f t="shared" si="9"/>
        <v>#VALUE!</v>
      </c>
      <c r="AC11" s="27" t="e">
        <f t="shared" si="9"/>
        <v>#VALUE!</v>
      </c>
      <c r="AD11" s="27" t="e">
        <f t="shared" si="9"/>
        <v>#VALUE!</v>
      </c>
      <c r="AE11" s="27" t="e">
        <f t="shared" si="9"/>
        <v>#VALUE!</v>
      </c>
      <c r="AF11" s="27" t="e">
        <f t="shared" si="9"/>
        <v>#VALUE!</v>
      </c>
      <c r="AG11" s="27" t="e">
        <f t="shared" si="9"/>
        <v>#VALUE!</v>
      </c>
      <c r="AH11" s="27" t="e">
        <f t="shared" si="9"/>
        <v>#VALUE!</v>
      </c>
      <c r="AI11" s="27" t="e">
        <f t="shared" si="9"/>
        <v>#VALUE!</v>
      </c>
      <c r="AJ11" s="27" t="e">
        <f t="shared" si="9"/>
        <v>#VALUE!</v>
      </c>
      <c r="AK11" s="27" t="e">
        <f t="shared" si="9"/>
        <v>#VALUE!</v>
      </c>
      <c r="AL11" s="27" t="e">
        <f t="shared" si="9"/>
        <v>#VALUE!</v>
      </c>
      <c r="AM11" s="27" t="e">
        <f t="shared" si="9"/>
        <v>#VALUE!</v>
      </c>
      <c r="AN11" s="27" t="e">
        <f t="shared" si="9"/>
        <v>#VALUE!</v>
      </c>
      <c r="AO11" s="27" t="e">
        <f t="shared" si="9"/>
        <v>#VALUE!</v>
      </c>
      <c r="AP11" s="27" t="e">
        <f t="shared" si="9"/>
        <v>#VALUE!</v>
      </c>
      <c r="AQ11" s="27" t="e">
        <f t="shared" si="9"/>
        <v>#VALUE!</v>
      </c>
      <c r="AR11" s="27" t="e">
        <f t="shared" si="9"/>
        <v>#VALUE!</v>
      </c>
      <c r="AS11" s="27" t="e">
        <f t="shared" si="9"/>
        <v>#VALUE!</v>
      </c>
      <c r="AT11" s="27" t="e">
        <f t="shared" si="9"/>
        <v>#VALUE!</v>
      </c>
      <c r="AU11" s="27" t="e">
        <f t="shared" si="9"/>
        <v>#VALUE!</v>
      </c>
      <c r="AV11" s="27" t="e">
        <f t="shared" si="9"/>
        <v>#VALUE!</v>
      </c>
      <c r="AW11" s="27" t="e">
        <f t="shared" si="9"/>
        <v>#VALUE!</v>
      </c>
      <c r="AX11" s="27" t="e">
        <f t="shared" si="9"/>
        <v>#VALUE!</v>
      </c>
      <c r="AY11" s="27" t="e">
        <f t="shared" si="9"/>
        <v>#VALUE!</v>
      </c>
      <c r="AZ11" s="27" t="e">
        <f t="shared" si="9"/>
        <v>#VALUE!</v>
      </c>
      <c r="BA11" s="27" t="e">
        <f t="shared" ref="BA11:BF11" si="10">DATE(YEAR(BA6),8,15)</f>
        <v>#VALUE!</v>
      </c>
      <c r="BB11" s="27" t="e">
        <f t="shared" si="10"/>
        <v>#VALUE!</v>
      </c>
      <c r="BC11" s="27" t="e">
        <f t="shared" si="10"/>
        <v>#VALUE!</v>
      </c>
      <c r="BD11" s="27" t="e">
        <f t="shared" si="10"/>
        <v>#VALUE!</v>
      </c>
      <c r="BE11" s="27" t="e">
        <f t="shared" si="10"/>
        <v>#VALUE!</v>
      </c>
      <c r="BF11" s="27" t="e">
        <f t="shared" si="10"/>
        <v>#VALUE!</v>
      </c>
      <c r="BG11" s="27" t="e">
        <f t="shared" ref="BG11:DB11" si="11">DATE(YEAR(BG6),8,15)</f>
        <v>#VALUE!</v>
      </c>
      <c r="BH11" s="27" t="e">
        <f t="shared" si="11"/>
        <v>#VALUE!</v>
      </c>
      <c r="BI11" s="27" t="e">
        <f t="shared" si="11"/>
        <v>#VALUE!</v>
      </c>
      <c r="BJ11" s="27" t="e">
        <f t="shared" si="11"/>
        <v>#VALUE!</v>
      </c>
      <c r="BK11" s="27" t="e">
        <f t="shared" si="11"/>
        <v>#VALUE!</v>
      </c>
      <c r="BL11" s="27" t="e">
        <f t="shared" si="11"/>
        <v>#VALUE!</v>
      </c>
      <c r="BM11" s="27" t="e">
        <f t="shared" si="11"/>
        <v>#VALUE!</v>
      </c>
      <c r="BN11" s="27" t="e">
        <f t="shared" si="11"/>
        <v>#VALUE!</v>
      </c>
      <c r="BO11" s="27" t="e">
        <f t="shared" si="11"/>
        <v>#VALUE!</v>
      </c>
      <c r="BP11" s="27" t="e">
        <f t="shared" si="11"/>
        <v>#VALUE!</v>
      </c>
      <c r="BQ11" s="27" t="e">
        <f t="shared" si="11"/>
        <v>#VALUE!</v>
      </c>
      <c r="BR11" s="27" t="e">
        <f t="shared" si="11"/>
        <v>#VALUE!</v>
      </c>
      <c r="BS11" s="27" t="e">
        <f t="shared" si="11"/>
        <v>#VALUE!</v>
      </c>
      <c r="BT11" s="27" t="e">
        <f t="shared" si="11"/>
        <v>#VALUE!</v>
      </c>
      <c r="BU11" s="27" t="e">
        <f t="shared" si="11"/>
        <v>#VALUE!</v>
      </c>
      <c r="BV11" s="27" t="e">
        <f t="shared" si="11"/>
        <v>#VALUE!</v>
      </c>
      <c r="BW11" s="27" t="e">
        <f t="shared" si="11"/>
        <v>#VALUE!</v>
      </c>
      <c r="BX11" s="27" t="e">
        <f t="shared" si="11"/>
        <v>#VALUE!</v>
      </c>
      <c r="BY11" s="27" t="e">
        <f t="shared" si="11"/>
        <v>#VALUE!</v>
      </c>
      <c r="BZ11" s="27" t="e">
        <f t="shared" si="11"/>
        <v>#VALUE!</v>
      </c>
      <c r="CA11" s="27" t="e">
        <f t="shared" si="11"/>
        <v>#VALUE!</v>
      </c>
      <c r="CB11" s="27" t="e">
        <f t="shared" si="11"/>
        <v>#VALUE!</v>
      </c>
      <c r="CC11" s="27" t="e">
        <f t="shared" si="11"/>
        <v>#VALUE!</v>
      </c>
      <c r="CD11" s="27" t="e">
        <f t="shared" si="11"/>
        <v>#VALUE!</v>
      </c>
      <c r="CE11" s="27" t="e">
        <f t="shared" si="11"/>
        <v>#VALUE!</v>
      </c>
      <c r="CF11" s="27" t="e">
        <f t="shared" si="11"/>
        <v>#VALUE!</v>
      </c>
      <c r="CG11" s="27" t="e">
        <f t="shared" si="11"/>
        <v>#VALUE!</v>
      </c>
      <c r="CH11" s="27" t="e">
        <f t="shared" si="11"/>
        <v>#VALUE!</v>
      </c>
      <c r="CI11" s="27" t="e">
        <f t="shared" si="11"/>
        <v>#VALUE!</v>
      </c>
      <c r="CJ11" s="27" t="e">
        <f t="shared" si="11"/>
        <v>#VALUE!</v>
      </c>
      <c r="CK11" s="27" t="e">
        <f t="shared" si="11"/>
        <v>#VALUE!</v>
      </c>
      <c r="CL11" s="27" t="e">
        <f t="shared" si="11"/>
        <v>#VALUE!</v>
      </c>
      <c r="CM11" s="27" t="e">
        <f t="shared" si="11"/>
        <v>#VALUE!</v>
      </c>
      <c r="CN11" s="27" t="e">
        <f t="shared" si="11"/>
        <v>#VALUE!</v>
      </c>
      <c r="CO11" s="27" t="e">
        <f t="shared" si="11"/>
        <v>#VALUE!</v>
      </c>
      <c r="CP11" s="27" t="e">
        <f t="shared" si="11"/>
        <v>#VALUE!</v>
      </c>
      <c r="CQ11" s="27" t="e">
        <f t="shared" si="11"/>
        <v>#VALUE!</v>
      </c>
      <c r="CR11" s="27" t="e">
        <f t="shared" si="11"/>
        <v>#VALUE!</v>
      </c>
      <c r="CS11" s="27" t="e">
        <f t="shared" si="11"/>
        <v>#VALUE!</v>
      </c>
      <c r="CT11" s="27" t="e">
        <f t="shared" si="11"/>
        <v>#VALUE!</v>
      </c>
      <c r="CU11" s="27" t="e">
        <f t="shared" si="11"/>
        <v>#VALUE!</v>
      </c>
      <c r="CV11" s="27" t="e">
        <f t="shared" si="11"/>
        <v>#VALUE!</v>
      </c>
      <c r="CW11" s="27" t="e">
        <f t="shared" si="11"/>
        <v>#VALUE!</v>
      </c>
      <c r="CX11" s="27" t="e">
        <f t="shared" si="11"/>
        <v>#VALUE!</v>
      </c>
      <c r="CY11" s="27" t="e">
        <f t="shared" si="11"/>
        <v>#VALUE!</v>
      </c>
      <c r="CZ11" s="27" t="e">
        <f t="shared" si="11"/>
        <v>#VALUE!</v>
      </c>
      <c r="DA11" s="27" t="e">
        <f t="shared" si="11"/>
        <v>#VALUE!</v>
      </c>
      <c r="DB11" s="27" t="e">
        <f t="shared" si="11"/>
        <v>#VALUE!</v>
      </c>
    </row>
    <row r="12" spans="1:106" ht="18" customHeight="1" thickBot="1">
      <c r="A12" s="337" t="s">
        <v>1084</v>
      </c>
      <c r="B12" s="325" t="str">
        <f>VLOOKUP(L83,L84:M89,2)</f>
        <v>Normal</v>
      </c>
      <c r="C12" s="325"/>
      <c r="D12" s="325" t="str">
        <f>IF(D13="",IF(L83=6,IF(L75=1,"Cl. 1 – Cat. B",IF(L76=FALSE,"Cl. 2 – Cat. C","Cl. 2 – Cat. B")),IF(L75=1,"Classe 1",IF(L76=TRUE,"Classe 2 avec EIE","Classe 2"))),"")</f>
        <v>Classe 2</v>
      </c>
      <c r="E12" s="326"/>
      <c r="F12" s="327" t="str">
        <f>IF(L77=TRUE,"Enquête &gt; 1 commune","")</f>
        <v/>
      </c>
      <c r="G12" s="328"/>
      <c r="I12" s="25"/>
      <c r="J12" s="197"/>
      <c r="L12" s="131" t="s">
        <v>973</v>
      </c>
      <c r="M12" s="24">
        <v>140</v>
      </c>
      <c r="N12" s="132" t="s">
        <v>964</v>
      </c>
      <c r="P12" s="26">
        <v>37561</v>
      </c>
      <c r="Q12" s="27" t="e">
        <f t="shared" ref="Q12:AZ12" si="12">DATE(YEAR(Q6),11,1)</f>
        <v>#VALUE!</v>
      </c>
      <c r="R12" s="27" t="e">
        <f t="shared" si="12"/>
        <v>#VALUE!</v>
      </c>
      <c r="S12" s="27" t="e">
        <f t="shared" si="12"/>
        <v>#VALUE!</v>
      </c>
      <c r="T12" s="27" t="e">
        <f t="shared" si="12"/>
        <v>#VALUE!</v>
      </c>
      <c r="U12" s="27" t="e">
        <f t="shared" si="12"/>
        <v>#VALUE!</v>
      </c>
      <c r="V12" s="27" t="e">
        <f t="shared" si="12"/>
        <v>#VALUE!</v>
      </c>
      <c r="W12" s="27" t="e">
        <f t="shared" si="12"/>
        <v>#VALUE!</v>
      </c>
      <c r="X12" s="27" t="e">
        <f t="shared" si="12"/>
        <v>#VALUE!</v>
      </c>
      <c r="Y12" s="27" t="e">
        <f t="shared" si="12"/>
        <v>#VALUE!</v>
      </c>
      <c r="Z12" s="27" t="e">
        <f t="shared" si="12"/>
        <v>#VALUE!</v>
      </c>
      <c r="AA12" s="27" t="e">
        <f t="shared" si="12"/>
        <v>#VALUE!</v>
      </c>
      <c r="AB12" s="27" t="e">
        <f t="shared" si="12"/>
        <v>#VALUE!</v>
      </c>
      <c r="AC12" s="27" t="e">
        <f t="shared" si="12"/>
        <v>#VALUE!</v>
      </c>
      <c r="AD12" s="27" t="e">
        <f t="shared" si="12"/>
        <v>#VALUE!</v>
      </c>
      <c r="AE12" s="27" t="e">
        <f t="shared" si="12"/>
        <v>#VALUE!</v>
      </c>
      <c r="AF12" s="27" t="e">
        <f t="shared" si="12"/>
        <v>#VALUE!</v>
      </c>
      <c r="AG12" s="27" t="e">
        <f t="shared" si="12"/>
        <v>#VALUE!</v>
      </c>
      <c r="AH12" s="27" t="e">
        <f t="shared" si="12"/>
        <v>#VALUE!</v>
      </c>
      <c r="AI12" s="27" t="e">
        <f t="shared" si="12"/>
        <v>#VALUE!</v>
      </c>
      <c r="AJ12" s="27" t="e">
        <f t="shared" si="12"/>
        <v>#VALUE!</v>
      </c>
      <c r="AK12" s="27" t="e">
        <f t="shared" si="12"/>
        <v>#VALUE!</v>
      </c>
      <c r="AL12" s="27" t="e">
        <f t="shared" si="12"/>
        <v>#VALUE!</v>
      </c>
      <c r="AM12" s="27" t="e">
        <f t="shared" si="12"/>
        <v>#VALUE!</v>
      </c>
      <c r="AN12" s="27" t="e">
        <f t="shared" si="12"/>
        <v>#VALUE!</v>
      </c>
      <c r="AO12" s="27" t="e">
        <f t="shared" si="12"/>
        <v>#VALUE!</v>
      </c>
      <c r="AP12" s="27" t="e">
        <f t="shared" si="12"/>
        <v>#VALUE!</v>
      </c>
      <c r="AQ12" s="27" t="e">
        <f t="shared" si="12"/>
        <v>#VALUE!</v>
      </c>
      <c r="AR12" s="27" t="e">
        <f t="shared" si="12"/>
        <v>#VALUE!</v>
      </c>
      <c r="AS12" s="27" t="e">
        <f t="shared" si="12"/>
        <v>#VALUE!</v>
      </c>
      <c r="AT12" s="27" t="e">
        <f t="shared" si="12"/>
        <v>#VALUE!</v>
      </c>
      <c r="AU12" s="27" t="e">
        <f t="shared" si="12"/>
        <v>#VALUE!</v>
      </c>
      <c r="AV12" s="27" t="e">
        <f t="shared" si="12"/>
        <v>#VALUE!</v>
      </c>
      <c r="AW12" s="27" t="e">
        <f t="shared" si="12"/>
        <v>#VALUE!</v>
      </c>
      <c r="AX12" s="27" t="e">
        <f t="shared" si="12"/>
        <v>#VALUE!</v>
      </c>
      <c r="AY12" s="27" t="e">
        <f t="shared" si="12"/>
        <v>#VALUE!</v>
      </c>
      <c r="AZ12" s="27" t="e">
        <f t="shared" si="12"/>
        <v>#VALUE!</v>
      </c>
      <c r="BA12" s="27" t="e">
        <f t="shared" ref="BA12:BF12" si="13">DATE(YEAR(BA6),11,1)</f>
        <v>#VALUE!</v>
      </c>
      <c r="BB12" s="27" t="e">
        <f t="shared" si="13"/>
        <v>#VALUE!</v>
      </c>
      <c r="BC12" s="27" t="e">
        <f t="shared" si="13"/>
        <v>#VALUE!</v>
      </c>
      <c r="BD12" s="27" t="e">
        <f t="shared" si="13"/>
        <v>#VALUE!</v>
      </c>
      <c r="BE12" s="27" t="e">
        <f t="shared" si="13"/>
        <v>#VALUE!</v>
      </c>
      <c r="BF12" s="27" t="e">
        <f t="shared" si="13"/>
        <v>#VALUE!</v>
      </c>
      <c r="BG12" s="27" t="e">
        <f t="shared" ref="BG12:DB12" si="14">DATE(YEAR(BG6),11,1)</f>
        <v>#VALUE!</v>
      </c>
      <c r="BH12" s="27" t="e">
        <f t="shared" si="14"/>
        <v>#VALUE!</v>
      </c>
      <c r="BI12" s="27" t="e">
        <f t="shared" si="14"/>
        <v>#VALUE!</v>
      </c>
      <c r="BJ12" s="27" t="e">
        <f t="shared" si="14"/>
        <v>#VALUE!</v>
      </c>
      <c r="BK12" s="27" t="e">
        <f t="shared" si="14"/>
        <v>#VALUE!</v>
      </c>
      <c r="BL12" s="27" t="e">
        <f t="shared" si="14"/>
        <v>#VALUE!</v>
      </c>
      <c r="BM12" s="27" t="e">
        <f t="shared" si="14"/>
        <v>#VALUE!</v>
      </c>
      <c r="BN12" s="27" t="e">
        <f t="shared" si="14"/>
        <v>#VALUE!</v>
      </c>
      <c r="BO12" s="27" t="e">
        <f t="shared" si="14"/>
        <v>#VALUE!</v>
      </c>
      <c r="BP12" s="27" t="e">
        <f t="shared" si="14"/>
        <v>#VALUE!</v>
      </c>
      <c r="BQ12" s="27" t="e">
        <f t="shared" si="14"/>
        <v>#VALUE!</v>
      </c>
      <c r="BR12" s="27" t="e">
        <f t="shared" si="14"/>
        <v>#VALUE!</v>
      </c>
      <c r="BS12" s="27" t="e">
        <f t="shared" si="14"/>
        <v>#VALUE!</v>
      </c>
      <c r="BT12" s="27" t="e">
        <f t="shared" si="14"/>
        <v>#VALUE!</v>
      </c>
      <c r="BU12" s="27" t="e">
        <f t="shared" si="14"/>
        <v>#VALUE!</v>
      </c>
      <c r="BV12" s="27" t="e">
        <f t="shared" si="14"/>
        <v>#VALUE!</v>
      </c>
      <c r="BW12" s="27" t="e">
        <f t="shared" si="14"/>
        <v>#VALUE!</v>
      </c>
      <c r="BX12" s="27" t="e">
        <f t="shared" si="14"/>
        <v>#VALUE!</v>
      </c>
      <c r="BY12" s="27" t="e">
        <f t="shared" si="14"/>
        <v>#VALUE!</v>
      </c>
      <c r="BZ12" s="27" t="e">
        <f t="shared" si="14"/>
        <v>#VALUE!</v>
      </c>
      <c r="CA12" s="27" t="e">
        <f t="shared" si="14"/>
        <v>#VALUE!</v>
      </c>
      <c r="CB12" s="27" t="e">
        <f t="shared" si="14"/>
        <v>#VALUE!</v>
      </c>
      <c r="CC12" s="27" t="e">
        <f t="shared" si="14"/>
        <v>#VALUE!</v>
      </c>
      <c r="CD12" s="27" t="e">
        <f t="shared" si="14"/>
        <v>#VALUE!</v>
      </c>
      <c r="CE12" s="27" t="e">
        <f t="shared" si="14"/>
        <v>#VALUE!</v>
      </c>
      <c r="CF12" s="27" t="e">
        <f t="shared" si="14"/>
        <v>#VALUE!</v>
      </c>
      <c r="CG12" s="27" t="e">
        <f t="shared" si="14"/>
        <v>#VALUE!</v>
      </c>
      <c r="CH12" s="27" t="e">
        <f t="shared" si="14"/>
        <v>#VALUE!</v>
      </c>
      <c r="CI12" s="27" t="e">
        <f t="shared" si="14"/>
        <v>#VALUE!</v>
      </c>
      <c r="CJ12" s="27" t="e">
        <f t="shared" si="14"/>
        <v>#VALUE!</v>
      </c>
      <c r="CK12" s="27" t="e">
        <f t="shared" si="14"/>
        <v>#VALUE!</v>
      </c>
      <c r="CL12" s="27" t="e">
        <f t="shared" si="14"/>
        <v>#VALUE!</v>
      </c>
      <c r="CM12" s="27" t="e">
        <f t="shared" si="14"/>
        <v>#VALUE!</v>
      </c>
      <c r="CN12" s="27" t="e">
        <f t="shared" si="14"/>
        <v>#VALUE!</v>
      </c>
      <c r="CO12" s="27" t="e">
        <f t="shared" si="14"/>
        <v>#VALUE!</v>
      </c>
      <c r="CP12" s="27" t="e">
        <f t="shared" si="14"/>
        <v>#VALUE!</v>
      </c>
      <c r="CQ12" s="27" t="e">
        <f t="shared" si="14"/>
        <v>#VALUE!</v>
      </c>
      <c r="CR12" s="27" t="e">
        <f t="shared" si="14"/>
        <v>#VALUE!</v>
      </c>
      <c r="CS12" s="27" t="e">
        <f t="shared" si="14"/>
        <v>#VALUE!</v>
      </c>
      <c r="CT12" s="27" t="e">
        <f t="shared" si="14"/>
        <v>#VALUE!</v>
      </c>
      <c r="CU12" s="27" t="e">
        <f t="shared" si="14"/>
        <v>#VALUE!</v>
      </c>
      <c r="CV12" s="27" t="e">
        <f t="shared" si="14"/>
        <v>#VALUE!</v>
      </c>
      <c r="CW12" s="27" t="e">
        <f t="shared" si="14"/>
        <v>#VALUE!</v>
      </c>
      <c r="CX12" s="27" t="e">
        <f t="shared" si="14"/>
        <v>#VALUE!</v>
      </c>
      <c r="CY12" s="27" t="e">
        <f t="shared" si="14"/>
        <v>#VALUE!</v>
      </c>
      <c r="CZ12" s="27" t="e">
        <f t="shared" si="14"/>
        <v>#VALUE!</v>
      </c>
      <c r="DA12" s="27" t="e">
        <f t="shared" si="14"/>
        <v>#VALUE!</v>
      </c>
      <c r="DB12" s="27" t="e">
        <f t="shared" si="14"/>
        <v>#VALUE!</v>
      </c>
    </row>
    <row r="13" spans="1:106" ht="18" customHeight="1">
      <c r="A13" s="329"/>
      <c r="B13" s="194" t="str">
        <f>IF(L74=TRUE,"Demande d'une EIE","")</f>
        <v/>
      </c>
      <c r="C13" s="194"/>
      <c r="D13" s="195"/>
      <c r="E13" s="167"/>
      <c r="F13" s="143" t="str">
        <f>CONCATENATE("Autorité = ",IF(L79=1,"CBE",IF(L71=FALSE,"FT","FT + FD")))</f>
        <v>Autorité = CBE</v>
      </c>
      <c r="G13" s="330"/>
      <c r="H13" s="28"/>
      <c r="I13" s="25"/>
      <c r="L13" s="131" t="s">
        <v>986</v>
      </c>
      <c r="M13" s="24">
        <v>30</v>
      </c>
      <c r="N13" s="132" t="s">
        <v>965</v>
      </c>
      <c r="P13" s="26">
        <v>37571</v>
      </c>
      <c r="Q13" s="27" t="e">
        <f t="shared" ref="Q13:AZ13" si="15">DATE(YEAR(Q6),11,11)</f>
        <v>#VALUE!</v>
      </c>
      <c r="R13" s="27" t="e">
        <f t="shared" si="15"/>
        <v>#VALUE!</v>
      </c>
      <c r="S13" s="27" t="e">
        <f t="shared" si="15"/>
        <v>#VALUE!</v>
      </c>
      <c r="T13" s="27" t="e">
        <f t="shared" si="15"/>
        <v>#VALUE!</v>
      </c>
      <c r="U13" s="27" t="e">
        <f t="shared" si="15"/>
        <v>#VALUE!</v>
      </c>
      <c r="V13" s="27" t="e">
        <f t="shared" si="15"/>
        <v>#VALUE!</v>
      </c>
      <c r="W13" s="27" t="e">
        <f t="shared" si="15"/>
        <v>#VALUE!</v>
      </c>
      <c r="X13" s="27" t="e">
        <f t="shared" si="15"/>
        <v>#VALUE!</v>
      </c>
      <c r="Y13" s="27" t="e">
        <f t="shared" si="15"/>
        <v>#VALUE!</v>
      </c>
      <c r="Z13" s="27" t="e">
        <f t="shared" si="15"/>
        <v>#VALUE!</v>
      </c>
      <c r="AA13" s="27" t="e">
        <f t="shared" si="15"/>
        <v>#VALUE!</v>
      </c>
      <c r="AB13" s="27" t="e">
        <f t="shared" si="15"/>
        <v>#VALUE!</v>
      </c>
      <c r="AC13" s="27" t="e">
        <f t="shared" si="15"/>
        <v>#VALUE!</v>
      </c>
      <c r="AD13" s="27" t="e">
        <f t="shared" si="15"/>
        <v>#VALUE!</v>
      </c>
      <c r="AE13" s="27" t="e">
        <f t="shared" si="15"/>
        <v>#VALUE!</v>
      </c>
      <c r="AF13" s="27" t="e">
        <f t="shared" si="15"/>
        <v>#VALUE!</v>
      </c>
      <c r="AG13" s="27" t="e">
        <f t="shared" si="15"/>
        <v>#VALUE!</v>
      </c>
      <c r="AH13" s="27" t="e">
        <f t="shared" si="15"/>
        <v>#VALUE!</v>
      </c>
      <c r="AI13" s="27" t="e">
        <f t="shared" si="15"/>
        <v>#VALUE!</v>
      </c>
      <c r="AJ13" s="27" t="e">
        <f t="shared" si="15"/>
        <v>#VALUE!</v>
      </c>
      <c r="AK13" s="27" t="e">
        <f t="shared" si="15"/>
        <v>#VALUE!</v>
      </c>
      <c r="AL13" s="27" t="e">
        <f t="shared" si="15"/>
        <v>#VALUE!</v>
      </c>
      <c r="AM13" s="27" t="e">
        <f t="shared" si="15"/>
        <v>#VALUE!</v>
      </c>
      <c r="AN13" s="27" t="e">
        <f t="shared" si="15"/>
        <v>#VALUE!</v>
      </c>
      <c r="AO13" s="27" t="e">
        <f t="shared" si="15"/>
        <v>#VALUE!</v>
      </c>
      <c r="AP13" s="27" t="e">
        <f t="shared" si="15"/>
        <v>#VALUE!</v>
      </c>
      <c r="AQ13" s="27" t="e">
        <f t="shared" si="15"/>
        <v>#VALUE!</v>
      </c>
      <c r="AR13" s="27" t="e">
        <f t="shared" si="15"/>
        <v>#VALUE!</v>
      </c>
      <c r="AS13" s="27" t="e">
        <f t="shared" si="15"/>
        <v>#VALUE!</v>
      </c>
      <c r="AT13" s="27" t="e">
        <f t="shared" si="15"/>
        <v>#VALUE!</v>
      </c>
      <c r="AU13" s="27" t="e">
        <f t="shared" si="15"/>
        <v>#VALUE!</v>
      </c>
      <c r="AV13" s="27" t="e">
        <f t="shared" si="15"/>
        <v>#VALUE!</v>
      </c>
      <c r="AW13" s="27" t="e">
        <f t="shared" si="15"/>
        <v>#VALUE!</v>
      </c>
      <c r="AX13" s="27" t="e">
        <f t="shared" si="15"/>
        <v>#VALUE!</v>
      </c>
      <c r="AY13" s="27" t="e">
        <f t="shared" si="15"/>
        <v>#VALUE!</v>
      </c>
      <c r="AZ13" s="27" t="e">
        <f t="shared" si="15"/>
        <v>#VALUE!</v>
      </c>
      <c r="BA13" s="27" t="e">
        <f t="shared" ref="BA13:BF13" si="16">DATE(YEAR(BA6),11,11)</f>
        <v>#VALUE!</v>
      </c>
      <c r="BB13" s="27" t="e">
        <f t="shared" si="16"/>
        <v>#VALUE!</v>
      </c>
      <c r="BC13" s="27" t="e">
        <f t="shared" si="16"/>
        <v>#VALUE!</v>
      </c>
      <c r="BD13" s="27" t="e">
        <f t="shared" si="16"/>
        <v>#VALUE!</v>
      </c>
      <c r="BE13" s="27" t="e">
        <f t="shared" si="16"/>
        <v>#VALUE!</v>
      </c>
      <c r="BF13" s="27" t="e">
        <f t="shared" si="16"/>
        <v>#VALUE!</v>
      </c>
      <c r="BG13" s="27" t="e">
        <f t="shared" ref="BG13:DB13" si="17">DATE(YEAR(BG6),11,11)</f>
        <v>#VALUE!</v>
      </c>
      <c r="BH13" s="27" t="e">
        <f t="shared" si="17"/>
        <v>#VALUE!</v>
      </c>
      <c r="BI13" s="27" t="e">
        <f t="shared" si="17"/>
        <v>#VALUE!</v>
      </c>
      <c r="BJ13" s="27" t="e">
        <f t="shared" si="17"/>
        <v>#VALUE!</v>
      </c>
      <c r="BK13" s="27" t="e">
        <f t="shared" si="17"/>
        <v>#VALUE!</v>
      </c>
      <c r="BL13" s="27" t="e">
        <f t="shared" si="17"/>
        <v>#VALUE!</v>
      </c>
      <c r="BM13" s="27" t="e">
        <f t="shared" si="17"/>
        <v>#VALUE!</v>
      </c>
      <c r="BN13" s="27" t="e">
        <f t="shared" si="17"/>
        <v>#VALUE!</v>
      </c>
      <c r="BO13" s="27" t="e">
        <f t="shared" si="17"/>
        <v>#VALUE!</v>
      </c>
      <c r="BP13" s="27" t="e">
        <f t="shared" si="17"/>
        <v>#VALUE!</v>
      </c>
      <c r="BQ13" s="27" t="e">
        <f t="shared" si="17"/>
        <v>#VALUE!</v>
      </c>
      <c r="BR13" s="27" t="e">
        <f t="shared" si="17"/>
        <v>#VALUE!</v>
      </c>
      <c r="BS13" s="27" t="e">
        <f t="shared" si="17"/>
        <v>#VALUE!</v>
      </c>
      <c r="BT13" s="27" t="e">
        <f t="shared" si="17"/>
        <v>#VALUE!</v>
      </c>
      <c r="BU13" s="27" t="e">
        <f t="shared" si="17"/>
        <v>#VALUE!</v>
      </c>
      <c r="BV13" s="27" t="e">
        <f t="shared" si="17"/>
        <v>#VALUE!</v>
      </c>
      <c r="BW13" s="27" t="e">
        <f t="shared" si="17"/>
        <v>#VALUE!</v>
      </c>
      <c r="BX13" s="27" t="e">
        <f t="shared" si="17"/>
        <v>#VALUE!</v>
      </c>
      <c r="BY13" s="27" t="e">
        <f t="shared" si="17"/>
        <v>#VALUE!</v>
      </c>
      <c r="BZ13" s="27" t="e">
        <f t="shared" si="17"/>
        <v>#VALUE!</v>
      </c>
      <c r="CA13" s="27" t="e">
        <f t="shared" si="17"/>
        <v>#VALUE!</v>
      </c>
      <c r="CB13" s="27" t="e">
        <f t="shared" si="17"/>
        <v>#VALUE!</v>
      </c>
      <c r="CC13" s="27" t="e">
        <f t="shared" si="17"/>
        <v>#VALUE!</v>
      </c>
      <c r="CD13" s="27" t="e">
        <f t="shared" si="17"/>
        <v>#VALUE!</v>
      </c>
      <c r="CE13" s="27" t="e">
        <f t="shared" si="17"/>
        <v>#VALUE!</v>
      </c>
      <c r="CF13" s="27" t="e">
        <f t="shared" si="17"/>
        <v>#VALUE!</v>
      </c>
      <c r="CG13" s="27" t="e">
        <f t="shared" si="17"/>
        <v>#VALUE!</v>
      </c>
      <c r="CH13" s="27" t="e">
        <f t="shared" si="17"/>
        <v>#VALUE!</v>
      </c>
      <c r="CI13" s="27" t="e">
        <f t="shared" si="17"/>
        <v>#VALUE!</v>
      </c>
      <c r="CJ13" s="27" t="e">
        <f t="shared" si="17"/>
        <v>#VALUE!</v>
      </c>
      <c r="CK13" s="27" t="e">
        <f t="shared" si="17"/>
        <v>#VALUE!</v>
      </c>
      <c r="CL13" s="27" t="e">
        <f t="shared" si="17"/>
        <v>#VALUE!</v>
      </c>
      <c r="CM13" s="27" t="e">
        <f t="shared" si="17"/>
        <v>#VALUE!</v>
      </c>
      <c r="CN13" s="27" t="e">
        <f t="shared" si="17"/>
        <v>#VALUE!</v>
      </c>
      <c r="CO13" s="27" t="e">
        <f t="shared" si="17"/>
        <v>#VALUE!</v>
      </c>
      <c r="CP13" s="27" t="e">
        <f t="shared" si="17"/>
        <v>#VALUE!</v>
      </c>
      <c r="CQ13" s="27" t="e">
        <f t="shared" si="17"/>
        <v>#VALUE!</v>
      </c>
      <c r="CR13" s="27" t="e">
        <f t="shared" si="17"/>
        <v>#VALUE!</v>
      </c>
      <c r="CS13" s="27" t="e">
        <f t="shared" si="17"/>
        <v>#VALUE!</v>
      </c>
      <c r="CT13" s="27" t="e">
        <f t="shared" si="17"/>
        <v>#VALUE!</v>
      </c>
      <c r="CU13" s="27" t="e">
        <f t="shared" si="17"/>
        <v>#VALUE!</v>
      </c>
      <c r="CV13" s="27" t="e">
        <f t="shared" si="17"/>
        <v>#VALUE!</v>
      </c>
      <c r="CW13" s="27" t="e">
        <f t="shared" si="17"/>
        <v>#VALUE!</v>
      </c>
      <c r="CX13" s="27" t="e">
        <f t="shared" si="17"/>
        <v>#VALUE!</v>
      </c>
      <c r="CY13" s="27" t="e">
        <f t="shared" si="17"/>
        <v>#VALUE!</v>
      </c>
      <c r="CZ13" s="27" t="e">
        <f t="shared" si="17"/>
        <v>#VALUE!</v>
      </c>
      <c r="DA13" s="27" t="e">
        <f t="shared" si="17"/>
        <v>#VALUE!</v>
      </c>
      <c r="DB13" s="27" t="e">
        <f t="shared" si="17"/>
        <v>#VALUE!</v>
      </c>
    </row>
    <row r="14" spans="1:106" ht="18" customHeight="1" thickBot="1">
      <c r="A14" s="331"/>
      <c r="B14" s="332" t="str">
        <f>IF(L71=TRUE,"Permis unique","Permis d'environnement")</f>
        <v>Permis d'environnement</v>
      </c>
      <c r="C14" s="332"/>
      <c r="D14" s="333" t="str">
        <f>IF(L72=TRUE,"Modification de voirie","")</f>
        <v/>
      </c>
      <c r="E14" s="334"/>
      <c r="F14" s="335" t="str">
        <f>IF(L81=TRUE,IF(L71=TRUE,"Plans modificatifs","Uniquement en PU !"),"")</f>
        <v/>
      </c>
      <c r="G14" s="336"/>
      <c r="H14" s="32"/>
      <c r="L14" s="131" t="s">
        <v>33</v>
      </c>
      <c r="M14" s="24">
        <v>30</v>
      </c>
      <c r="N14" s="132"/>
      <c r="P14" s="26">
        <v>37615</v>
      </c>
      <c r="Q14" s="27" t="e">
        <f t="shared" ref="Q14:AZ14" si="18">DATE(YEAR(Q6),12,25)</f>
        <v>#VALUE!</v>
      </c>
      <c r="R14" s="27" t="e">
        <f t="shared" si="18"/>
        <v>#VALUE!</v>
      </c>
      <c r="S14" s="27" t="e">
        <f t="shared" si="18"/>
        <v>#VALUE!</v>
      </c>
      <c r="T14" s="27" t="e">
        <f t="shared" si="18"/>
        <v>#VALUE!</v>
      </c>
      <c r="U14" s="27" t="e">
        <f t="shared" si="18"/>
        <v>#VALUE!</v>
      </c>
      <c r="V14" s="27" t="e">
        <f t="shared" si="18"/>
        <v>#VALUE!</v>
      </c>
      <c r="W14" s="27" t="e">
        <f t="shared" si="18"/>
        <v>#VALUE!</v>
      </c>
      <c r="X14" s="27" t="e">
        <f t="shared" si="18"/>
        <v>#VALUE!</v>
      </c>
      <c r="Y14" s="27" t="e">
        <f t="shared" si="18"/>
        <v>#VALUE!</v>
      </c>
      <c r="Z14" s="27" t="e">
        <f t="shared" si="18"/>
        <v>#VALUE!</v>
      </c>
      <c r="AA14" s="27" t="e">
        <f t="shared" si="18"/>
        <v>#VALUE!</v>
      </c>
      <c r="AB14" s="27" t="e">
        <f t="shared" si="18"/>
        <v>#VALUE!</v>
      </c>
      <c r="AC14" s="27" t="e">
        <f t="shared" si="18"/>
        <v>#VALUE!</v>
      </c>
      <c r="AD14" s="27" t="e">
        <f t="shared" si="18"/>
        <v>#VALUE!</v>
      </c>
      <c r="AE14" s="27" t="e">
        <f t="shared" si="18"/>
        <v>#VALUE!</v>
      </c>
      <c r="AF14" s="27" t="e">
        <f t="shared" si="18"/>
        <v>#VALUE!</v>
      </c>
      <c r="AG14" s="27" t="e">
        <f t="shared" si="18"/>
        <v>#VALUE!</v>
      </c>
      <c r="AH14" s="27" t="e">
        <f t="shared" si="18"/>
        <v>#VALUE!</v>
      </c>
      <c r="AI14" s="27" t="e">
        <f t="shared" si="18"/>
        <v>#VALUE!</v>
      </c>
      <c r="AJ14" s="27" t="e">
        <f t="shared" si="18"/>
        <v>#VALUE!</v>
      </c>
      <c r="AK14" s="27" t="e">
        <f t="shared" si="18"/>
        <v>#VALUE!</v>
      </c>
      <c r="AL14" s="27" t="e">
        <f t="shared" si="18"/>
        <v>#VALUE!</v>
      </c>
      <c r="AM14" s="27" t="e">
        <f t="shared" si="18"/>
        <v>#VALUE!</v>
      </c>
      <c r="AN14" s="27" t="e">
        <f t="shared" si="18"/>
        <v>#VALUE!</v>
      </c>
      <c r="AO14" s="27" t="e">
        <f t="shared" si="18"/>
        <v>#VALUE!</v>
      </c>
      <c r="AP14" s="27" t="e">
        <f t="shared" si="18"/>
        <v>#VALUE!</v>
      </c>
      <c r="AQ14" s="27" t="e">
        <f t="shared" si="18"/>
        <v>#VALUE!</v>
      </c>
      <c r="AR14" s="27" t="e">
        <f t="shared" si="18"/>
        <v>#VALUE!</v>
      </c>
      <c r="AS14" s="27" t="e">
        <f t="shared" si="18"/>
        <v>#VALUE!</v>
      </c>
      <c r="AT14" s="27" t="e">
        <f t="shared" si="18"/>
        <v>#VALUE!</v>
      </c>
      <c r="AU14" s="27" t="e">
        <f t="shared" si="18"/>
        <v>#VALUE!</v>
      </c>
      <c r="AV14" s="27" t="e">
        <f t="shared" si="18"/>
        <v>#VALUE!</v>
      </c>
      <c r="AW14" s="27" t="e">
        <f t="shared" si="18"/>
        <v>#VALUE!</v>
      </c>
      <c r="AX14" s="27" t="e">
        <f t="shared" si="18"/>
        <v>#VALUE!</v>
      </c>
      <c r="AY14" s="27" t="e">
        <f t="shared" si="18"/>
        <v>#VALUE!</v>
      </c>
      <c r="AZ14" s="27" t="e">
        <f t="shared" si="18"/>
        <v>#VALUE!</v>
      </c>
      <c r="BA14" s="27" t="e">
        <f t="shared" ref="BA14:BF14" si="19">DATE(YEAR(BA6),12,25)</f>
        <v>#VALUE!</v>
      </c>
      <c r="BB14" s="27" t="e">
        <f t="shared" si="19"/>
        <v>#VALUE!</v>
      </c>
      <c r="BC14" s="27" t="e">
        <f t="shared" si="19"/>
        <v>#VALUE!</v>
      </c>
      <c r="BD14" s="27" t="e">
        <f t="shared" si="19"/>
        <v>#VALUE!</v>
      </c>
      <c r="BE14" s="27" t="e">
        <f t="shared" si="19"/>
        <v>#VALUE!</v>
      </c>
      <c r="BF14" s="27" t="e">
        <f t="shared" si="19"/>
        <v>#VALUE!</v>
      </c>
      <c r="BG14" s="27" t="e">
        <f t="shared" ref="BG14:DB14" si="20">DATE(YEAR(BG6),12,25)</f>
        <v>#VALUE!</v>
      </c>
      <c r="BH14" s="27" t="e">
        <f t="shared" si="20"/>
        <v>#VALUE!</v>
      </c>
      <c r="BI14" s="27" t="e">
        <f t="shared" si="20"/>
        <v>#VALUE!</v>
      </c>
      <c r="BJ14" s="27" t="e">
        <f t="shared" si="20"/>
        <v>#VALUE!</v>
      </c>
      <c r="BK14" s="27" t="e">
        <f t="shared" si="20"/>
        <v>#VALUE!</v>
      </c>
      <c r="BL14" s="27" t="e">
        <f t="shared" si="20"/>
        <v>#VALUE!</v>
      </c>
      <c r="BM14" s="27" t="e">
        <f t="shared" si="20"/>
        <v>#VALUE!</v>
      </c>
      <c r="BN14" s="27" t="e">
        <f t="shared" si="20"/>
        <v>#VALUE!</v>
      </c>
      <c r="BO14" s="27" t="e">
        <f t="shared" si="20"/>
        <v>#VALUE!</v>
      </c>
      <c r="BP14" s="27" t="e">
        <f t="shared" si="20"/>
        <v>#VALUE!</v>
      </c>
      <c r="BQ14" s="27" t="e">
        <f t="shared" si="20"/>
        <v>#VALUE!</v>
      </c>
      <c r="BR14" s="27" t="e">
        <f t="shared" si="20"/>
        <v>#VALUE!</v>
      </c>
      <c r="BS14" s="27" t="e">
        <f t="shared" si="20"/>
        <v>#VALUE!</v>
      </c>
      <c r="BT14" s="27" t="e">
        <f t="shared" si="20"/>
        <v>#VALUE!</v>
      </c>
      <c r="BU14" s="27" t="e">
        <f t="shared" si="20"/>
        <v>#VALUE!</v>
      </c>
      <c r="BV14" s="27" t="e">
        <f t="shared" si="20"/>
        <v>#VALUE!</v>
      </c>
      <c r="BW14" s="27" t="e">
        <f t="shared" si="20"/>
        <v>#VALUE!</v>
      </c>
      <c r="BX14" s="27" t="e">
        <f t="shared" si="20"/>
        <v>#VALUE!</v>
      </c>
      <c r="BY14" s="27" t="e">
        <f t="shared" si="20"/>
        <v>#VALUE!</v>
      </c>
      <c r="BZ14" s="27" t="e">
        <f t="shared" si="20"/>
        <v>#VALUE!</v>
      </c>
      <c r="CA14" s="27" t="e">
        <f t="shared" si="20"/>
        <v>#VALUE!</v>
      </c>
      <c r="CB14" s="27" t="e">
        <f t="shared" si="20"/>
        <v>#VALUE!</v>
      </c>
      <c r="CC14" s="27" t="e">
        <f t="shared" si="20"/>
        <v>#VALUE!</v>
      </c>
      <c r="CD14" s="27" t="e">
        <f t="shared" si="20"/>
        <v>#VALUE!</v>
      </c>
      <c r="CE14" s="27" t="e">
        <f t="shared" si="20"/>
        <v>#VALUE!</v>
      </c>
      <c r="CF14" s="27" t="e">
        <f t="shared" si="20"/>
        <v>#VALUE!</v>
      </c>
      <c r="CG14" s="27" t="e">
        <f t="shared" si="20"/>
        <v>#VALUE!</v>
      </c>
      <c r="CH14" s="27" t="e">
        <f t="shared" si="20"/>
        <v>#VALUE!</v>
      </c>
      <c r="CI14" s="27" t="e">
        <f t="shared" si="20"/>
        <v>#VALUE!</v>
      </c>
      <c r="CJ14" s="27" t="e">
        <f t="shared" si="20"/>
        <v>#VALUE!</v>
      </c>
      <c r="CK14" s="27" t="e">
        <f t="shared" si="20"/>
        <v>#VALUE!</v>
      </c>
      <c r="CL14" s="27" t="e">
        <f t="shared" si="20"/>
        <v>#VALUE!</v>
      </c>
      <c r="CM14" s="27" t="e">
        <f t="shared" si="20"/>
        <v>#VALUE!</v>
      </c>
      <c r="CN14" s="27" t="e">
        <f t="shared" si="20"/>
        <v>#VALUE!</v>
      </c>
      <c r="CO14" s="27" t="e">
        <f t="shared" si="20"/>
        <v>#VALUE!</v>
      </c>
      <c r="CP14" s="27" t="e">
        <f t="shared" si="20"/>
        <v>#VALUE!</v>
      </c>
      <c r="CQ14" s="27" t="e">
        <f t="shared" si="20"/>
        <v>#VALUE!</v>
      </c>
      <c r="CR14" s="27" t="e">
        <f t="shared" si="20"/>
        <v>#VALUE!</v>
      </c>
      <c r="CS14" s="27" t="e">
        <f t="shared" si="20"/>
        <v>#VALUE!</v>
      </c>
      <c r="CT14" s="27" t="e">
        <f t="shared" si="20"/>
        <v>#VALUE!</v>
      </c>
      <c r="CU14" s="27" t="e">
        <f t="shared" si="20"/>
        <v>#VALUE!</v>
      </c>
      <c r="CV14" s="27" t="e">
        <f t="shared" si="20"/>
        <v>#VALUE!</v>
      </c>
      <c r="CW14" s="27" t="e">
        <f t="shared" si="20"/>
        <v>#VALUE!</v>
      </c>
      <c r="CX14" s="27" t="e">
        <f t="shared" si="20"/>
        <v>#VALUE!</v>
      </c>
      <c r="CY14" s="27" t="e">
        <f t="shared" si="20"/>
        <v>#VALUE!</v>
      </c>
      <c r="CZ14" s="27" t="e">
        <f t="shared" si="20"/>
        <v>#VALUE!</v>
      </c>
      <c r="DA14" s="27" t="e">
        <f t="shared" si="20"/>
        <v>#VALUE!</v>
      </c>
      <c r="DB14" s="27" t="e">
        <f t="shared" si="20"/>
        <v>#VALUE!</v>
      </c>
    </row>
    <row r="15" spans="1:106" ht="15" customHeight="1">
      <c r="A15" s="15"/>
      <c r="H15" s="23"/>
      <c r="L15" s="131" t="s">
        <v>36</v>
      </c>
      <c r="M15" s="24">
        <v>60</v>
      </c>
      <c r="N15" s="132"/>
      <c r="P15" s="49" t="s">
        <v>43</v>
      </c>
      <c r="Q15" s="48" t="e">
        <f t="shared" ref="Q15:AZ15" si="21">IF(Q6&lt;&gt;Q8,IF(Q6&lt;&gt;Q9,IF(Q6&lt;&gt;Q10,IF(Q6&lt;&gt;Q11,IF(Q6&lt;&gt;Q12,IF(Q6&lt;&gt;Q13,IF(Q6&lt;&gt;Q14,0,1),1),1),1),1),1),1)</f>
        <v>#VALUE!</v>
      </c>
      <c r="R15" s="48" t="e">
        <f t="shared" si="21"/>
        <v>#VALUE!</v>
      </c>
      <c r="S15" s="48" t="e">
        <f t="shared" si="21"/>
        <v>#VALUE!</v>
      </c>
      <c r="T15" s="48" t="e">
        <f t="shared" si="21"/>
        <v>#VALUE!</v>
      </c>
      <c r="U15" s="48" t="e">
        <f t="shared" si="21"/>
        <v>#VALUE!</v>
      </c>
      <c r="V15" s="48" t="e">
        <f t="shared" si="21"/>
        <v>#VALUE!</v>
      </c>
      <c r="W15" s="48" t="e">
        <f t="shared" si="21"/>
        <v>#VALUE!</v>
      </c>
      <c r="X15" s="48" t="e">
        <f t="shared" si="21"/>
        <v>#VALUE!</v>
      </c>
      <c r="Y15" s="48" t="e">
        <f t="shared" si="21"/>
        <v>#VALUE!</v>
      </c>
      <c r="Z15" s="48" t="e">
        <f t="shared" si="21"/>
        <v>#VALUE!</v>
      </c>
      <c r="AA15" s="48" t="e">
        <f t="shared" si="21"/>
        <v>#VALUE!</v>
      </c>
      <c r="AB15" s="48" t="e">
        <f t="shared" si="21"/>
        <v>#VALUE!</v>
      </c>
      <c r="AC15" s="48" t="e">
        <f t="shared" si="21"/>
        <v>#VALUE!</v>
      </c>
      <c r="AD15" s="48" t="e">
        <f t="shared" si="21"/>
        <v>#VALUE!</v>
      </c>
      <c r="AE15" s="48" t="e">
        <f t="shared" si="21"/>
        <v>#VALUE!</v>
      </c>
      <c r="AF15" s="48" t="e">
        <f t="shared" si="21"/>
        <v>#VALUE!</v>
      </c>
      <c r="AG15" s="48" t="e">
        <f t="shared" si="21"/>
        <v>#VALUE!</v>
      </c>
      <c r="AH15" s="48" t="e">
        <f t="shared" si="21"/>
        <v>#VALUE!</v>
      </c>
      <c r="AI15" s="48" t="e">
        <f t="shared" si="21"/>
        <v>#VALUE!</v>
      </c>
      <c r="AJ15" s="48" t="e">
        <f t="shared" si="21"/>
        <v>#VALUE!</v>
      </c>
      <c r="AK15" s="48" t="e">
        <f t="shared" si="21"/>
        <v>#VALUE!</v>
      </c>
      <c r="AL15" s="48" t="e">
        <f t="shared" si="21"/>
        <v>#VALUE!</v>
      </c>
      <c r="AM15" s="48" t="e">
        <f t="shared" si="21"/>
        <v>#VALUE!</v>
      </c>
      <c r="AN15" s="48" t="e">
        <f t="shared" si="21"/>
        <v>#VALUE!</v>
      </c>
      <c r="AO15" s="48" t="e">
        <f t="shared" si="21"/>
        <v>#VALUE!</v>
      </c>
      <c r="AP15" s="48" t="e">
        <f t="shared" si="21"/>
        <v>#VALUE!</v>
      </c>
      <c r="AQ15" s="48" t="e">
        <f t="shared" si="21"/>
        <v>#VALUE!</v>
      </c>
      <c r="AR15" s="48" t="e">
        <f t="shared" si="21"/>
        <v>#VALUE!</v>
      </c>
      <c r="AS15" s="48" t="e">
        <f t="shared" si="21"/>
        <v>#VALUE!</v>
      </c>
      <c r="AT15" s="48" t="e">
        <f t="shared" si="21"/>
        <v>#VALUE!</v>
      </c>
      <c r="AU15" s="48" t="e">
        <f t="shared" si="21"/>
        <v>#VALUE!</v>
      </c>
      <c r="AV15" s="48" t="e">
        <f t="shared" si="21"/>
        <v>#VALUE!</v>
      </c>
      <c r="AW15" s="48" t="e">
        <f t="shared" si="21"/>
        <v>#VALUE!</v>
      </c>
      <c r="AX15" s="48" t="e">
        <f t="shared" si="21"/>
        <v>#VALUE!</v>
      </c>
      <c r="AY15" s="48" t="e">
        <f t="shared" si="21"/>
        <v>#VALUE!</v>
      </c>
      <c r="AZ15" s="48" t="e">
        <f t="shared" si="21"/>
        <v>#VALUE!</v>
      </c>
      <c r="BA15" s="48" t="e">
        <f t="shared" ref="BA15:CF15" si="22">IF(BA6&lt;&gt;BA8,IF(BA6&lt;&gt;BA9,IF(BA6&lt;&gt;BA10,IF(BA6&lt;&gt;BA11,IF(BA6&lt;&gt;BA12,IF(BA6&lt;&gt;BA13,IF(BA6&lt;&gt;BA14,0,1),1),1),1),1),1),1)</f>
        <v>#VALUE!</v>
      </c>
      <c r="BB15" s="48" t="e">
        <f t="shared" si="22"/>
        <v>#VALUE!</v>
      </c>
      <c r="BC15" s="48" t="e">
        <f t="shared" si="22"/>
        <v>#VALUE!</v>
      </c>
      <c r="BD15" s="48" t="e">
        <f t="shared" si="22"/>
        <v>#VALUE!</v>
      </c>
      <c r="BE15" s="48" t="e">
        <f t="shared" si="22"/>
        <v>#VALUE!</v>
      </c>
      <c r="BF15" s="48" t="e">
        <f t="shared" si="22"/>
        <v>#VALUE!</v>
      </c>
      <c r="BG15" s="48" t="e">
        <f t="shared" si="22"/>
        <v>#VALUE!</v>
      </c>
      <c r="BH15" s="48" t="e">
        <f t="shared" si="22"/>
        <v>#VALUE!</v>
      </c>
      <c r="BI15" s="48" t="e">
        <f t="shared" si="22"/>
        <v>#VALUE!</v>
      </c>
      <c r="BJ15" s="48" t="e">
        <f t="shared" si="22"/>
        <v>#VALUE!</v>
      </c>
      <c r="BK15" s="48" t="e">
        <f t="shared" si="22"/>
        <v>#VALUE!</v>
      </c>
      <c r="BL15" s="48" t="e">
        <f t="shared" si="22"/>
        <v>#VALUE!</v>
      </c>
      <c r="BM15" s="48" t="e">
        <f t="shared" si="22"/>
        <v>#VALUE!</v>
      </c>
      <c r="BN15" s="48" t="e">
        <f t="shared" si="22"/>
        <v>#VALUE!</v>
      </c>
      <c r="BO15" s="48" t="e">
        <f t="shared" si="22"/>
        <v>#VALUE!</v>
      </c>
      <c r="BP15" s="48" t="e">
        <f t="shared" si="22"/>
        <v>#VALUE!</v>
      </c>
      <c r="BQ15" s="48" t="e">
        <f t="shared" si="22"/>
        <v>#VALUE!</v>
      </c>
      <c r="BR15" s="48" t="e">
        <f t="shared" si="22"/>
        <v>#VALUE!</v>
      </c>
      <c r="BS15" s="48" t="e">
        <f t="shared" si="22"/>
        <v>#VALUE!</v>
      </c>
      <c r="BT15" s="48" t="e">
        <f t="shared" si="22"/>
        <v>#VALUE!</v>
      </c>
      <c r="BU15" s="48" t="e">
        <f t="shared" si="22"/>
        <v>#VALUE!</v>
      </c>
      <c r="BV15" s="48" t="e">
        <f t="shared" si="22"/>
        <v>#VALUE!</v>
      </c>
      <c r="BW15" s="48" t="e">
        <f t="shared" si="22"/>
        <v>#VALUE!</v>
      </c>
      <c r="BX15" s="48" t="e">
        <f t="shared" si="22"/>
        <v>#VALUE!</v>
      </c>
      <c r="BY15" s="48" t="e">
        <f t="shared" si="22"/>
        <v>#VALUE!</v>
      </c>
      <c r="BZ15" s="48" t="e">
        <f t="shared" si="22"/>
        <v>#VALUE!</v>
      </c>
      <c r="CA15" s="48" t="e">
        <f t="shared" si="22"/>
        <v>#VALUE!</v>
      </c>
      <c r="CB15" s="48" t="e">
        <f t="shared" si="22"/>
        <v>#VALUE!</v>
      </c>
      <c r="CC15" s="48" t="e">
        <f t="shared" si="22"/>
        <v>#VALUE!</v>
      </c>
      <c r="CD15" s="48" t="e">
        <f t="shared" si="22"/>
        <v>#VALUE!</v>
      </c>
      <c r="CE15" s="48" t="e">
        <f t="shared" si="22"/>
        <v>#VALUE!</v>
      </c>
      <c r="CF15" s="48" t="e">
        <f t="shared" si="22"/>
        <v>#VALUE!</v>
      </c>
      <c r="CG15" s="48" t="e">
        <f t="shared" ref="CG15:DB15" si="23">IF(CG6&lt;&gt;CG8,IF(CG6&lt;&gt;CG9,IF(CG6&lt;&gt;CG10,IF(CG6&lt;&gt;CG11,IF(CG6&lt;&gt;CG12,IF(CG6&lt;&gt;CG13,IF(CG6&lt;&gt;CG14,0,1),1),1),1),1),1),1)</f>
        <v>#VALUE!</v>
      </c>
      <c r="CH15" s="48" t="e">
        <f t="shared" si="23"/>
        <v>#VALUE!</v>
      </c>
      <c r="CI15" s="48" t="e">
        <f t="shared" si="23"/>
        <v>#VALUE!</v>
      </c>
      <c r="CJ15" s="48" t="e">
        <f t="shared" si="23"/>
        <v>#VALUE!</v>
      </c>
      <c r="CK15" s="48" t="e">
        <f t="shared" si="23"/>
        <v>#VALUE!</v>
      </c>
      <c r="CL15" s="48" t="e">
        <f t="shared" si="23"/>
        <v>#VALUE!</v>
      </c>
      <c r="CM15" s="48" t="e">
        <f t="shared" si="23"/>
        <v>#VALUE!</v>
      </c>
      <c r="CN15" s="48" t="e">
        <f t="shared" si="23"/>
        <v>#VALUE!</v>
      </c>
      <c r="CO15" s="48" t="e">
        <f t="shared" si="23"/>
        <v>#VALUE!</v>
      </c>
      <c r="CP15" s="48" t="e">
        <f t="shared" si="23"/>
        <v>#VALUE!</v>
      </c>
      <c r="CQ15" s="48" t="e">
        <f t="shared" si="23"/>
        <v>#VALUE!</v>
      </c>
      <c r="CR15" s="48" t="e">
        <f t="shared" si="23"/>
        <v>#VALUE!</v>
      </c>
      <c r="CS15" s="48" t="e">
        <f t="shared" si="23"/>
        <v>#VALUE!</v>
      </c>
      <c r="CT15" s="48" t="e">
        <f t="shared" si="23"/>
        <v>#VALUE!</v>
      </c>
      <c r="CU15" s="48" t="e">
        <f t="shared" si="23"/>
        <v>#VALUE!</v>
      </c>
      <c r="CV15" s="48" t="e">
        <f t="shared" si="23"/>
        <v>#VALUE!</v>
      </c>
      <c r="CW15" s="48" t="e">
        <f t="shared" si="23"/>
        <v>#VALUE!</v>
      </c>
      <c r="CX15" s="48" t="e">
        <f t="shared" si="23"/>
        <v>#VALUE!</v>
      </c>
      <c r="CY15" s="48" t="e">
        <f t="shared" si="23"/>
        <v>#VALUE!</v>
      </c>
      <c r="CZ15" s="48" t="e">
        <f t="shared" si="23"/>
        <v>#VALUE!</v>
      </c>
      <c r="DA15" s="48" t="e">
        <f t="shared" si="23"/>
        <v>#VALUE!</v>
      </c>
      <c r="DB15" s="48" t="e">
        <f t="shared" si="23"/>
        <v>#VALUE!</v>
      </c>
    </row>
    <row r="16" spans="1:106" ht="45" customHeight="1">
      <c r="A16" s="34"/>
      <c r="B16" s="35" t="s">
        <v>31</v>
      </c>
      <c r="C16" s="36" t="str">
        <f>IF(D22&lt;&gt;"","Incomplet 1ère","Complet 1ère")</f>
        <v>Complet 1ère</v>
      </c>
      <c r="D16" s="36" t="str">
        <f>IF(AND(B20&lt;&gt;"",D22&lt;&gt;""),"Réception de la demande des compléments","")</f>
        <v/>
      </c>
      <c r="E16" s="36" t="str">
        <f>IF(OR(D22&lt;&gt;"",E22&lt;&gt;""),"Envoi des compléments à la commune","")</f>
        <v/>
      </c>
      <c r="F16" s="36" t="str">
        <f>IF(OR(D22&lt;&gt;"",E22&lt;&gt;"",F22&lt;&gt;""),"Réception des compléments par le FT","")</f>
        <v/>
      </c>
      <c r="G16" s="36" t="str">
        <f>IF(OR(D22&lt;&gt;"",E22&lt;&gt;"",F22&lt;&gt;""),"Complet 2ème","Complet 1ère")</f>
        <v>Complet 1ère</v>
      </c>
      <c r="H16" s="32"/>
      <c r="L16" s="131" t="s">
        <v>39</v>
      </c>
      <c r="M16" s="31">
        <v>30</v>
      </c>
      <c r="N16" s="132"/>
      <c r="P16" s="1" t="s">
        <v>46</v>
      </c>
      <c r="Q16" s="27" t="e">
        <f t="shared" ref="Q16:AZ16" si="24">DOLLAR((DAY(MINUTE(YEAR(Q6)/38)/2+55)&amp;"/4/"&amp;YEAR(Q6))/7,)*7-5</f>
        <v>#VALUE!</v>
      </c>
      <c r="R16" s="27" t="e">
        <f t="shared" si="24"/>
        <v>#VALUE!</v>
      </c>
      <c r="S16" s="27" t="e">
        <f t="shared" si="24"/>
        <v>#VALUE!</v>
      </c>
      <c r="T16" s="27" t="e">
        <f t="shared" si="24"/>
        <v>#VALUE!</v>
      </c>
      <c r="U16" s="27" t="e">
        <f t="shared" si="24"/>
        <v>#VALUE!</v>
      </c>
      <c r="V16" s="27" t="e">
        <f t="shared" si="24"/>
        <v>#VALUE!</v>
      </c>
      <c r="W16" s="27" t="e">
        <f t="shared" si="24"/>
        <v>#VALUE!</v>
      </c>
      <c r="X16" s="27" t="e">
        <f t="shared" si="24"/>
        <v>#VALUE!</v>
      </c>
      <c r="Y16" s="27" t="e">
        <f t="shared" si="24"/>
        <v>#VALUE!</v>
      </c>
      <c r="Z16" s="27" t="e">
        <f t="shared" si="24"/>
        <v>#VALUE!</v>
      </c>
      <c r="AA16" s="27" t="e">
        <f t="shared" si="24"/>
        <v>#VALUE!</v>
      </c>
      <c r="AB16" s="27" t="e">
        <f t="shared" si="24"/>
        <v>#VALUE!</v>
      </c>
      <c r="AC16" s="27" t="e">
        <f t="shared" si="24"/>
        <v>#VALUE!</v>
      </c>
      <c r="AD16" s="27" t="e">
        <f t="shared" si="24"/>
        <v>#VALUE!</v>
      </c>
      <c r="AE16" s="27" t="e">
        <f t="shared" si="24"/>
        <v>#VALUE!</v>
      </c>
      <c r="AF16" s="27" t="e">
        <f t="shared" si="24"/>
        <v>#VALUE!</v>
      </c>
      <c r="AG16" s="27" t="e">
        <f t="shared" si="24"/>
        <v>#VALUE!</v>
      </c>
      <c r="AH16" s="27" t="e">
        <f t="shared" si="24"/>
        <v>#VALUE!</v>
      </c>
      <c r="AI16" s="27" t="e">
        <f t="shared" si="24"/>
        <v>#VALUE!</v>
      </c>
      <c r="AJ16" s="27" t="e">
        <f t="shared" si="24"/>
        <v>#VALUE!</v>
      </c>
      <c r="AK16" s="27" t="e">
        <f t="shared" si="24"/>
        <v>#VALUE!</v>
      </c>
      <c r="AL16" s="27" t="e">
        <f t="shared" si="24"/>
        <v>#VALUE!</v>
      </c>
      <c r="AM16" s="27" t="e">
        <f t="shared" si="24"/>
        <v>#VALUE!</v>
      </c>
      <c r="AN16" s="27" t="e">
        <f t="shared" si="24"/>
        <v>#VALUE!</v>
      </c>
      <c r="AO16" s="27" t="e">
        <f t="shared" si="24"/>
        <v>#VALUE!</v>
      </c>
      <c r="AP16" s="27" t="e">
        <f t="shared" si="24"/>
        <v>#VALUE!</v>
      </c>
      <c r="AQ16" s="27" t="e">
        <f t="shared" si="24"/>
        <v>#VALUE!</v>
      </c>
      <c r="AR16" s="27" t="e">
        <f t="shared" si="24"/>
        <v>#VALUE!</v>
      </c>
      <c r="AS16" s="27" t="e">
        <f t="shared" si="24"/>
        <v>#VALUE!</v>
      </c>
      <c r="AT16" s="27" t="e">
        <f t="shared" si="24"/>
        <v>#VALUE!</v>
      </c>
      <c r="AU16" s="27" t="e">
        <f t="shared" si="24"/>
        <v>#VALUE!</v>
      </c>
      <c r="AV16" s="27" t="e">
        <f t="shared" si="24"/>
        <v>#VALUE!</v>
      </c>
      <c r="AW16" s="27" t="e">
        <f t="shared" si="24"/>
        <v>#VALUE!</v>
      </c>
      <c r="AX16" s="27" t="e">
        <f t="shared" si="24"/>
        <v>#VALUE!</v>
      </c>
      <c r="AY16" s="27" t="e">
        <f t="shared" si="24"/>
        <v>#VALUE!</v>
      </c>
      <c r="AZ16" s="27" t="e">
        <f t="shared" si="24"/>
        <v>#VALUE!</v>
      </c>
      <c r="BA16" s="27" t="e">
        <f t="shared" ref="BA16:BF16" si="25">DOLLAR((DAY(MINUTE(YEAR(BA6)/38)/2+55)&amp;"/4/"&amp;YEAR(BA6))/7,)*7-5</f>
        <v>#VALUE!</v>
      </c>
      <c r="BB16" s="27" t="e">
        <f t="shared" si="25"/>
        <v>#VALUE!</v>
      </c>
      <c r="BC16" s="27" t="e">
        <f t="shared" si="25"/>
        <v>#VALUE!</v>
      </c>
      <c r="BD16" s="27" t="e">
        <f t="shared" si="25"/>
        <v>#VALUE!</v>
      </c>
      <c r="BE16" s="27" t="e">
        <f t="shared" si="25"/>
        <v>#VALUE!</v>
      </c>
      <c r="BF16" s="27" t="e">
        <f t="shared" si="25"/>
        <v>#VALUE!</v>
      </c>
      <c r="BG16" s="27" t="e">
        <f t="shared" ref="BG16:DB16" si="26">DOLLAR((DAY(MINUTE(YEAR(BG6)/38)/2+55)&amp;"/4/"&amp;YEAR(BG6))/7,)*7-5</f>
        <v>#VALUE!</v>
      </c>
      <c r="BH16" s="27" t="e">
        <f t="shared" si="26"/>
        <v>#VALUE!</v>
      </c>
      <c r="BI16" s="27" t="e">
        <f t="shared" si="26"/>
        <v>#VALUE!</v>
      </c>
      <c r="BJ16" s="27" t="e">
        <f t="shared" si="26"/>
        <v>#VALUE!</v>
      </c>
      <c r="BK16" s="27" t="e">
        <f t="shared" si="26"/>
        <v>#VALUE!</v>
      </c>
      <c r="BL16" s="27" t="e">
        <f t="shared" si="26"/>
        <v>#VALUE!</v>
      </c>
      <c r="BM16" s="27" t="e">
        <f t="shared" si="26"/>
        <v>#VALUE!</v>
      </c>
      <c r="BN16" s="27" t="e">
        <f t="shared" si="26"/>
        <v>#VALUE!</v>
      </c>
      <c r="BO16" s="27" t="e">
        <f t="shared" si="26"/>
        <v>#VALUE!</v>
      </c>
      <c r="BP16" s="27" t="e">
        <f t="shared" si="26"/>
        <v>#VALUE!</v>
      </c>
      <c r="BQ16" s="27" t="e">
        <f t="shared" si="26"/>
        <v>#VALUE!</v>
      </c>
      <c r="BR16" s="27" t="e">
        <f t="shared" si="26"/>
        <v>#VALUE!</v>
      </c>
      <c r="BS16" s="27" t="e">
        <f t="shared" si="26"/>
        <v>#VALUE!</v>
      </c>
      <c r="BT16" s="27" t="e">
        <f t="shared" si="26"/>
        <v>#VALUE!</v>
      </c>
      <c r="BU16" s="27" t="e">
        <f t="shared" si="26"/>
        <v>#VALUE!</v>
      </c>
      <c r="BV16" s="27" t="e">
        <f t="shared" si="26"/>
        <v>#VALUE!</v>
      </c>
      <c r="BW16" s="27" t="e">
        <f t="shared" si="26"/>
        <v>#VALUE!</v>
      </c>
      <c r="BX16" s="27" t="e">
        <f t="shared" si="26"/>
        <v>#VALUE!</v>
      </c>
      <c r="BY16" s="27" t="e">
        <f t="shared" si="26"/>
        <v>#VALUE!</v>
      </c>
      <c r="BZ16" s="27" t="e">
        <f t="shared" si="26"/>
        <v>#VALUE!</v>
      </c>
      <c r="CA16" s="27" t="e">
        <f t="shared" si="26"/>
        <v>#VALUE!</v>
      </c>
      <c r="CB16" s="27" t="e">
        <f t="shared" si="26"/>
        <v>#VALUE!</v>
      </c>
      <c r="CC16" s="27" t="e">
        <f t="shared" si="26"/>
        <v>#VALUE!</v>
      </c>
      <c r="CD16" s="27" t="e">
        <f t="shared" si="26"/>
        <v>#VALUE!</v>
      </c>
      <c r="CE16" s="27" t="e">
        <f t="shared" si="26"/>
        <v>#VALUE!</v>
      </c>
      <c r="CF16" s="27" t="e">
        <f t="shared" si="26"/>
        <v>#VALUE!</v>
      </c>
      <c r="CG16" s="27" t="e">
        <f t="shared" si="26"/>
        <v>#VALUE!</v>
      </c>
      <c r="CH16" s="27" t="e">
        <f t="shared" si="26"/>
        <v>#VALUE!</v>
      </c>
      <c r="CI16" s="27" t="e">
        <f t="shared" si="26"/>
        <v>#VALUE!</v>
      </c>
      <c r="CJ16" s="27" t="e">
        <f t="shared" si="26"/>
        <v>#VALUE!</v>
      </c>
      <c r="CK16" s="27" t="e">
        <f t="shared" si="26"/>
        <v>#VALUE!</v>
      </c>
      <c r="CL16" s="27" t="e">
        <f t="shared" si="26"/>
        <v>#VALUE!</v>
      </c>
      <c r="CM16" s="27" t="e">
        <f t="shared" si="26"/>
        <v>#VALUE!</v>
      </c>
      <c r="CN16" s="27" t="e">
        <f t="shared" si="26"/>
        <v>#VALUE!</v>
      </c>
      <c r="CO16" s="27" t="e">
        <f t="shared" si="26"/>
        <v>#VALUE!</v>
      </c>
      <c r="CP16" s="27" t="e">
        <f t="shared" si="26"/>
        <v>#VALUE!</v>
      </c>
      <c r="CQ16" s="27" t="e">
        <f t="shared" si="26"/>
        <v>#VALUE!</v>
      </c>
      <c r="CR16" s="27" t="e">
        <f t="shared" si="26"/>
        <v>#VALUE!</v>
      </c>
      <c r="CS16" s="27" t="e">
        <f t="shared" si="26"/>
        <v>#VALUE!</v>
      </c>
      <c r="CT16" s="27" t="e">
        <f t="shared" si="26"/>
        <v>#VALUE!</v>
      </c>
      <c r="CU16" s="27" t="e">
        <f t="shared" si="26"/>
        <v>#VALUE!</v>
      </c>
      <c r="CV16" s="27" t="e">
        <f t="shared" si="26"/>
        <v>#VALUE!</v>
      </c>
      <c r="CW16" s="27" t="e">
        <f t="shared" si="26"/>
        <v>#VALUE!</v>
      </c>
      <c r="CX16" s="27" t="e">
        <f t="shared" si="26"/>
        <v>#VALUE!</v>
      </c>
      <c r="CY16" s="27" t="e">
        <f t="shared" si="26"/>
        <v>#VALUE!</v>
      </c>
      <c r="CZ16" s="27" t="e">
        <f t="shared" si="26"/>
        <v>#VALUE!</v>
      </c>
      <c r="DA16" s="27" t="e">
        <f t="shared" si="26"/>
        <v>#VALUE!</v>
      </c>
      <c r="DB16" s="27" t="e">
        <f t="shared" si="26"/>
        <v>#VALUE!</v>
      </c>
    </row>
    <row r="17" spans="1:109" ht="15" customHeight="1">
      <c r="A17" s="37" t="s">
        <v>34</v>
      </c>
      <c r="B17" s="38"/>
      <c r="C17" s="39" t="str">
        <f>IF(B20&lt;&gt;"",IF(L83=5,M33,M5)+Q67,"")</f>
        <v/>
      </c>
      <c r="D17" s="40"/>
      <c r="E17" s="40" t="str">
        <f>IF(OR(D22&lt;&gt;"",E22&lt;&gt;""),CONCATENATE(M6," mois"),"")</f>
        <v/>
      </c>
      <c r="F17" s="40"/>
      <c r="G17" s="41" t="str">
        <f>IF(AND(B20&lt;&gt;"",F22&lt;&gt;""),IF(L83=5,M34,M7)+W67,"")</f>
        <v/>
      </c>
      <c r="L17" s="131" t="s">
        <v>42</v>
      </c>
      <c r="M17" s="31">
        <v>15</v>
      </c>
      <c r="N17" s="132"/>
      <c r="P17" s="1" t="s">
        <v>49</v>
      </c>
      <c r="Q17" s="27" t="e">
        <f t="shared" ref="Q17:AZ17" si="27">DOLLAR((DAY(MINUTE(YEAR(Q6)/38)/2+55)&amp;"/4/"&amp;YEAR(Q6))/7,)*7+33</f>
        <v>#VALUE!</v>
      </c>
      <c r="R17" s="27" t="e">
        <f t="shared" si="27"/>
        <v>#VALUE!</v>
      </c>
      <c r="S17" s="27" t="e">
        <f t="shared" si="27"/>
        <v>#VALUE!</v>
      </c>
      <c r="T17" s="27" t="e">
        <f t="shared" si="27"/>
        <v>#VALUE!</v>
      </c>
      <c r="U17" s="27" t="e">
        <f t="shared" si="27"/>
        <v>#VALUE!</v>
      </c>
      <c r="V17" s="27" t="e">
        <f t="shared" si="27"/>
        <v>#VALUE!</v>
      </c>
      <c r="W17" s="27" t="e">
        <f t="shared" si="27"/>
        <v>#VALUE!</v>
      </c>
      <c r="X17" s="27" t="e">
        <f t="shared" si="27"/>
        <v>#VALUE!</v>
      </c>
      <c r="Y17" s="27" t="e">
        <f t="shared" si="27"/>
        <v>#VALUE!</v>
      </c>
      <c r="Z17" s="27" t="e">
        <f t="shared" si="27"/>
        <v>#VALUE!</v>
      </c>
      <c r="AA17" s="27" t="e">
        <f t="shared" si="27"/>
        <v>#VALUE!</v>
      </c>
      <c r="AB17" s="27" t="e">
        <f t="shared" si="27"/>
        <v>#VALUE!</v>
      </c>
      <c r="AC17" s="27" t="e">
        <f t="shared" si="27"/>
        <v>#VALUE!</v>
      </c>
      <c r="AD17" s="27" t="e">
        <f t="shared" si="27"/>
        <v>#VALUE!</v>
      </c>
      <c r="AE17" s="27" t="e">
        <f t="shared" si="27"/>
        <v>#VALUE!</v>
      </c>
      <c r="AF17" s="27" t="e">
        <f t="shared" si="27"/>
        <v>#VALUE!</v>
      </c>
      <c r="AG17" s="27" t="e">
        <f t="shared" si="27"/>
        <v>#VALUE!</v>
      </c>
      <c r="AH17" s="27" t="e">
        <f t="shared" si="27"/>
        <v>#VALUE!</v>
      </c>
      <c r="AI17" s="27" t="e">
        <f t="shared" si="27"/>
        <v>#VALUE!</v>
      </c>
      <c r="AJ17" s="27" t="e">
        <f t="shared" si="27"/>
        <v>#VALUE!</v>
      </c>
      <c r="AK17" s="27" t="e">
        <f t="shared" si="27"/>
        <v>#VALUE!</v>
      </c>
      <c r="AL17" s="27" t="e">
        <f t="shared" si="27"/>
        <v>#VALUE!</v>
      </c>
      <c r="AM17" s="27" t="e">
        <f t="shared" si="27"/>
        <v>#VALUE!</v>
      </c>
      <c r="AN17" s="27" t="e">
        <f t="shared" si="27"/>
        <v>#VALUE!</v>
      </c>
      <c r="AO17" s="27" t="e">
        <f t="shared" si="27"/>
        <v>#VALUE!</v>
      </c>
      <c r="AP17" s="27" t="e">
        <f t="shared" si="27"/>
        <v>#VALUE!</v>
      </c>
      <c r="AQ17" s="27" t="e">
        <f t="shared" si="27"/>
        <v>#VALUE!</v>
      </c>
      <c r="AR17" s="27" t="e">
        <f t="shared" si="27"/>
        <v>#VALUE!</v>
      </c>
      <c r="AS17" s="27" t="e">
        <f t="shared" si="27"/>
        <v>#VALUE!</v>
      </c>
      <c r="AT17" s="27" t="e">
        <f t="shared" si="27"/>
        <v>#VALUE!</v>
      </c>
      <c r="AU17" s="27" t="e">
        <f t="shared" si="27"/>
        <v>#VALUE!</v>
      </c>
      <c r="AV17" s="27" t="e">
        <f t="shared" si="27"/>
        <v>#VALUE!</v>
      </c>
      <c r="AW17" s="27" t="e">
        <f t="shared" si="27"/>
        <v>#VALUE!</v>
      </c>
      <c r="AX17" s="27" t="e">
        <f t="shared" si="27"/>
        <v>#VALUE!</v>
      </c>
      <c r="AY17" s="27" t="e">
        <f t="shared" si="27"/>
        <v>#VALUE!</v>
      </c>
      <c r="AZ17" s="27" t="e">
        <f t="shared" si="27"/>
        <v>#VALUE!</v>
      </c>
      <c r="BA17" s="27" t="e">
        <f t="shared" ref="BA17:BF17" si="28">DOLLAR((DAY(MINUTE(YEAR(BA6)/38)/2+55)&amp;"/4/"&amp;YEAR(BA6))/7,)*7+33</f>
        <v>#VALUE!</v>
      </c>
      <c r="BB17" s="27" t="e">
        <f t="shared" si="28"/>
        <v>#VALUE!</v>
      </c>
      <c r="BC17" s="27" t="e">
        <f t="shared" si="28"/>
        <v>#VALUE!</v>
      </c>
      <c r="BD17" s="27" t="e">
        <f t="shared" si="28"/>
        <v>#VALUE!</v>
      </c>
      <c r="BE17" s="27" t="e">
        <f t="shared" si="28"/>
        <v>#VALUE!</v>
      </c>
      <c r="BF17" s="27" t="e">
        <f t="shared" si="28"/>
        <v>#VALUE!</v>
      </c>
      <c r="BG17" s="27" t="e">
        <f t="shared" ref="BG17:DB17" si="29">DOLLAR((DAY(MINUTE(YEAR(BG6)/38)/2+55)&amp;"/4/"&amp;YEAR(BG6))/7,)*7+33</f>
        <v>#VALUE!</v>
      </c>
      <c r="BH17" s="27" t="e">
        <f t="shared" si="29"/>
        <v>#VALUE!</v>
      </c>
      <c r="BI17" s="27" t="e">
        <f t="shared" si="29"/>
        <v>#VALUE!</v>
      </c>
      <c r="BJ17" s="27" t="e">
        <f t="shared" si="29"/>
        <v>#VALUE!</v>
      </c>
      <c r="BK17" s="27" t="e">
        <f t="shared" si="29"/>
        <v>#VALUE!</v>
      </c>
      <c r="BL17" s="27" t="e">
        <f t="shared" si="29"/>
        <v>#VALUE!</v>
      </c>
      <c r="BM17" s="27" t="e">
        <f t="shared" si="29"/>
        <v>#VALUE!</v>
      </c>
      <c r="BN17" s="27" t="e">
        <f t="shared" si="29"/>
        <v>#VALUE!</v>
      </c>
      <c r="BO17" s="27" t="e">
        <f t="shared" si="29"/>
        <v>#VALUE!</v>
      </c>
      <c r="BP17" s="27" t="e">
        <f t="shared" si="29"/>
        <v>#VALUE!</v>
      </c>
      <c r="BQ17" s="27" t="e">
        <f t="shared" si="29"/>
        <v>#VALUE!</v>
      </c>
      <c r="BR17" s="27" t="e">
        <f t="shared" si="29"/>
        <v>#VALUE!</v>
      </c>
      <c r="BS17" s="27" t="e">
        <f t="shared" si="29"/>
        <v>#VALUE!</v>
      </c>
      <c r="BT17" s="27" t="e">
        <f t="shared" si="29"/>
        <v>#VALUE!</v>
      </c>
      <c r="BU17" s="27" t="e">
        <f t="shared" si="29"/>
        <v>#VALUE!</v>
      </c>
      <c r="BV17" s="27" t="e">
        <f t="shared" si="29"/>
        <v>#VALUE!</v>
      </c>
      <c r="BW17" s="27" t="e">
        <f t="shared" si="29"/>
        <v>#VALUE!</v>
      </c>
      <c r="BX17" s="27" t="e">
        <f t="shared" si="29"/>
        <v>#VALUE!</v>
      </c>
      <c r="BY17" s="27" t="e">
        <f t="shared" si="29"/>
        <v>#VALUE!</v>
      </c>
      <c r="BZ17" s="27" t="e">
        <f t="shared" si="29"/>
        <v>#VALUE!</v>
      </c>
      <c r="CA17" s="27" t="e">
        <f t="shared" si="29"/>
        <v>#VALUE!</v>
      </c>
      <c r="CB17" s="27" t="e">
        <f t="shared" si="29"/>
        <v>#VALUE!</v>
      </c>
      <c r="CC17" s="27" t="e">
        <f t="shared" si="29"/>
        <v>#VALUE!</v>
      </c>
      <c r="CD17" s="27" t="e">
        <f t="shared" si="29"/>
        <v>#VALUE!</v>
      </c>
      <c r="CE17" s="27" t="e">
        <f t="shared" si="29"/>
        <v>#VALUE!</v>
      </c>
      <c r="CF17" s="27" t="e">
        <f t="shared" si="29"/>
        <v>#VALUE!</v>
      </c>
      <c r="CG17" s="27" t="e">
        <f t="shared" si="29"/>
        <v>#VALUE!</v>
      </c>
      <c r="CH17" s="27" t="e">
        <f t="shared" si="29"/>
        <v>#VALUE!</v>
      </c>
      <c r="CI17" s="27" t="e">
        <f t="shared" si="29"/>
        <v>#VALUE!</v>
      </c>
      <c r="CJ17" s="27" t="e">
        <f t="shared" si="29"/>
        <v>#VALUE!</v>
      </c>
      <c r="CK17" s="27" t="e">
        <f t="shared" si="29"/>
        <v>#VALUE!</v>
      </c>
      <c r="CL17" s="27" t="e">
        <f t="shared" si="29"/>
        <v>#VALUE!</v>
      </c>
      <c r="CM17" s="27" t="e">
        <f t="shared" si="29"/>
        <v>#VALUE!</v>
      </c>
      <c r="CN17" s="27" t="e">
        <f t="shared" si="29"/>
        <v>#VALUE!</v>
      </c>
      <c r="CO17" s="27" t="e">
        <f t="shared" si="29"/>
        <v>#VALUE!</v>
      </c>
      <c r="CP17" s="27" t="e">
        <f t="shared" si="29"/>
        <v>#VALUE!</v>
      </c>
      <c r="CQ17" s="27" t="e">
        <f t="shared" si="29"/>
        <v>#VALUE!</v>
      </c>
      <c r="CR17" s="27" t="e">
        <f t="shared" si="29"/>
        <v>#VALUE!</v>
      </c>
      <c r="CS17" s="27" t="e">
        <f t="shared" si="29"/>
        <v>#VALUE!</v>
      </c>
      <c r="CT17" s="27" t="e">
        <f t="shared" si="29"/>
        <v>#VALUE!</v>
      </c>
      <c r="CU17" s="27" t="e">
        <f t="shared" si="29"/>
        <v>#VALUE!</v>
      </c>
      <c r="CV17" s="27" t="e">
        <f t="shared" si="29"/>
        <v>#VALUE!</v>
      </c>
      <c r="CW17" s="27" t="e">
        <f t="shared" si="29"/>
        <v>#VALUE!</v>
      </c>
      <c r="CX17" s="27" t="e">
        <f t="shared" si="29"/>
        <v>#VALUE!</v>
      </c>
      <c r="CY17" s="27" t="e">
        <f t="shared" si="29"/>
        <v>#VALUE!</v>
      </c>
      <c r="CZ17" s="27" t="e">
        <f t="shared" si="29"/>
        <v>#VALUE!</v>
      </c>
      <c r="DA17" s="27" t="e">
        <f t="shared" si="29"/>
        <v>#VALUE!</v>
      </c>
      <c r="DB17" s="27" t="e">
        <f t="shared" si="29"/>
        <v>#VALUE!</v>
      </c>
    </row>
    <row r="18" spans="1:109" ht="15" customHeight="1">
      <c r="A18" s="34" t="s">
        <v>37</v>
      </c>
      <c r="B18" s="42"/>
      <c r="C18" s="43" t="str">
        <f>IF(B20&lt;&gt;"",IF(C22&lt;&gt;"",C22-B22,""),"")</f>
        <v/>
      </c>
      <c r="D18" s="43" t="str">
        <f>IF(D22&lt;&gt;"",D22-C22,"")</f>
        <v/>
      </c>
      <c r="E18" s="43" t="str">
        <f>IF(OR(D22&lt;&gt;"",E22&lt;&gt;""),IF(E22&lt;&gt;"",E22-C22,""),"")</f>
        <v/>
      </c>
      <c r="F18" s="43"/>
      <c r="G18" s="43" t="str">
        <f>IF(G22&lt;&gt;"",G22-F22,"")</f>
        <v/>
      </c>
      <c r="J18" s="64"/>
      <c r="L18" s="131" t="s">
        <v>1037</v>
      </c>
      <c r="M18" s="31">
        <v>5</v>
      </c>
      <c r="N18" s="132"/>
      <c r="P18" s="1" t="s">
        <v>53</v>
      </c>
      <c r="Q18" s="27" t="e">
        <f t="shared" ref="Q18:AZ18" si="30">DOLLAR((DAY(MINUTE(YEAR(Q6)/38)/2+55)&amp;"/4/"&amp;YEAR(Q6))/7,)*7+44</f>
        <v>#VALUE!</v>
      </c>
      <c r="R18" s="27" t="e">
        <f t="shared" si="30"/>
        <v>#VALUE!</v>
      </c>
      <c r="S18" s="27" t="e">
        <f t="shared" si="30"/>
        <v>#VALUE!</v>
      </c>
      <c r="T18" s="27" t="e">
        <f t="shared" si="30"/>
        <v>#VALUE!</v>
      </c>
      <c r="U18" s="27" t="e">
        <f t="shared" si="30"/>
        <v>#VALUE!</v>
      </c>
      <c r="V18" s="27" t="e">
        <f t="shared" si="30"/>
        <v>#VALUE!</v>
      </c>
      <c r="W18" s="27" t="e">
        <f t="shared" si="30"/>
        <v>#VALUE!</v>
      </c>
      <c r="X18" s="27" t="e">
        <f t="shared" si="30"/>
        <v>#VALUE!</v>
      </c>
      <c r="Y18" s="27" t="e">
        <f t="shared" si="30"/>
        <v>#VALUE!</v>
      </c>
      <c r="Z18" s="27" t="e">
        <f t="shared" si="30"/>
        <v>#VALUE!</v>
      </c>
      <c r="AA18" s="27" t="e">
        <f t="shared" si="30"/>
        <v>#VALUE!</v>
      </c>
      <c r="AB18" s="27" t="e">
        <f t="shared" si="30"/>
        <v>#VALUE!</v>
      </c>
      <c r="AC18" s="27" t="e">
        <f t="shared" si="30"/>
        <v>#VALUE!</v>
      </c>
      <c r="AD18" s="27" t="e">
        <f t="shared" si="30"/>
        <v>#VALUE!</v>
      </c>
      <c r="AE18" s="27" t="e">
        <f t="shared" si="30"/>
        <v>#VALUE!</v>
      </c>
      <c r="AF18" s="27" t="e">
        <f t="shared" si="30"/>
        <v>#VALUE!</v>
      </c>
      <c r="AG18" s="27" t="e">
        <f t="shared" si="30"/>
        <v>#VALUE!</v>
      </c>
      <c r="AH18" s="27" t="e">
        <f t="shared" si="30"/>
        <v>#VALUE!</v>
      </c>
      <c r="AI18" s="27" t="e">
        <f t="shared" si="30"/>
        <v>#VALUE!</v>
      </c>
      <c r="AJ18" s="27" t="e">
        <f t="shared" si="30"/>
        <v>#VALUE!</v>
      </c>
      <c r="AK18" s="27" t="e">
        <f t="shared" si="30"/>
        <v>#VALUE!</v>
      </c>
      <c r="AL18" s="27" t="e">
        <f t="shared" si="30"/>
        <v>#VALUE!</v>
      </c>
      <c r="AM18" s="27" t="e">
        <f t="shared" si="30"/>
        <v>#VALUE!</v>
      </c>
      <c r="AN18" s="27" t="e">
        <f t="shared" si="30"/>
        <v>#VALUE!</v>
      </c>
      <c r="AO18" s="27" t="e">
        <f t="shared" si="30"/>
        <v>#VALUE!</v>
      </c>
      <c r="AP18" s="27" t="e">
        <f t="shared" si="30"/>
        <v>#VALUE!</v>
      </c>
      <c r="AQ18" s="27" t="e">
        <f t="shared" si="30"/>
        <v>#VALUE!</v>
      </c>
      <c r="AR18" s="27" t="e">
        <f t="shared" si="30"/>
        <v>#VALUE!</v>
      </c>
      <c r="AS18" s="27" t="e">
        <f t="shared" si="30"/>
        <v>#VALUE!</v>
      </c>
      <c r="AT18" s="27" t="e">
        <f t="shared" si="30"/>
        <v>#VALUE!</v>
      </c>
      <c r="AU18" s="27" t="e">
        <f t="shared" si="30"/>
        <v>#VALUE!</v>
      </c>
      <c r="AV18" s="27" t="e">
        <f t="shared" si="30"/>
        <v>#VALUE!</v>
      </c>
      <c r="AW18" s="27" t="e">
        <f t="shared" si="30"/>
        <v>#VALUE!</v>
      </c>
      <c r="AX18" s="27" t="e">
        <f t="shared" si="30"/>
        <v>#VALUE!</v>
      </c>
      <c r="AY18" s="27" t="e">
        <f t="shared" si="30"/>
        <v>#VALUE!</v>
      </c>
      <c r="AZ18" s="27" t="e">
        <f t="shared" si="30"/>
        <v>#VALUE!</v>
      </c>
      <c r="BA18" s="27" t="e">
        <f>DOLLAR((DAY(MINUTE(YEAR(BA6)/38)/2+55)&amp;"/4/"&amp;YEAR(BA6))/7,)*7+44</f>
        <v>#VALUE!</v>
      </c>
      <c r="BB18" s="27" t="e">
        <f>DOLLAR((DAY(MINUTE(YEAR(BB6)/38)/2+55)&amp;"/4/"&amp;YEAR(BB6))/7,)*7+44</f>
        <v>#VALUE!</v>
      </c>
      <c r="BC18" s="27" t="e">
        <f>DOLLAR((DAY(MINUTE(YEAR(BC6)/38)/2+55)&amp;"/4/"&amp;YEAR(BC6))/7,)*7+44</f>
        <v>#VALUE!</v>
      </c>
      <c r="BD18" s="27" t="e">
        <f>DOLLAR((DAY(MINUTE(YEAR(BD6)/38)/2+55)&amp;"/4/"&amp;YEAR(BD6))/7,)*7+44</f>
        <v>#VALUE!</v>
      </c>
      <c r="BE18" s="27" t="e">
        <f>DOLLAR((DAY(MINUTE(YEAR(BE6)/38)/2+55)&amp;"/4/"&amp;YEAR(BE6))/7,)*7+44</f>
        <v>#VALUE!</v>
      </c>
      <c r="BF18" s="27" t="e">
        <f t="shared" ref="BF18" si="31">DOLLAR((DAY(MINUTE(YEAR(BF6)/38)/2+55)&amp;"/4/"&amp;YEAR(BF6))/7,)*7+44</f>
        <v>#VALUE!</v>
      </c>
      <c r="BG18" s="27" t="e">
        <f>DOLLAR((DAY(MINUTE(YEAR(BG6)/38)/2+55)&amp;"/4/"&amp;YEAR(BG6))/7,)*7+44</f>
        <v>#VALUE!</v>
      </c>
      <c r="BH18" s="27" t="e">
        <f>DOLLAR((DAY(MINUTE(YEAR(BH6)/38)/2+55)&amp;"/4/"&amp;YEAR(BH6))/7,)*7+44</f>
        <v>#VALUE!</v>
      </c>
      <c r="BI18" s="27" t="e">
        <f t="shared" ref="BI18" si="32">DOLLAR((DAY(MINUTE(YEAR(BI6)/38)/2+55)&amp;"/4/"&amp;YEAR(BI6))/7,)*7+44</f>
        <v>#VALUE!</v>
      </c>
      <c r="BJ18" s="27" t="e">
        <f>DOLLAR((DAY(MINUTE(YEAR(BJ6)/38)/2+55)&amp;"/4/"&amp;YEAR(BJ6))/7,)*7+44</f>
        <v>#VALUE!</v>
      </c>
      <c r="BK18" s="27" t="e">
        <f>DOLLAR((DAY(MINUTE(YEAR(BK6)/38)/2+55)&amp;"/4/"&amp;YEAR(BK6))/7,)*7+44</f>
        <v>#VALUE!</v>
      </c>
      <c r="BL18" s="27" t="e">
        <f t="shared" ref="BL18" si="33">DOLLAR((DAY(MINUTE(YEAR(BL6)/38)/2+55)&amp;"/4/"&amp;YEAR(BL6))/7,)*7+44</f>
        <v>#VALUE!</v>
      </c>
      <c r="BM18" s="27" t="e">
        <f>DOLLAR((DAY(MINUTE(YEAR(BM6)/38)/2+55)&amp;"/4/"&amp;YEAR(BM6))/7,)*7+44</f>
        <v>#VALUE!</v>
      </c>
      <c r="BN18" s="27" t="e">
        <f>DOLLAR((DAY(MINUTE(YEAR(BN6)/38)/2+55)&amp;"/4/"&amp;YEAR(BN6))/7,)*7+44</f>
        <v>#VALUE!</v>
      </c>
      <c r="BO18" s="27" t="e">
        <f t="shared" ref="BO18" si="34">DOLLAR((DAY(MINUTE(YEAR(BO6)/38)/2+55)&amp;"/4/"&amp;YEAR(BO6))/7,)*7+44</f>
        <v>#VALUE!</v>
      </c>
      <c r="BP18" s="27" t="e">
        <f>DOLLAR((DAY(MINUTE(YEAR(BP6)/38)/2+55)&amp;"/4/"&amp;YEAR(BP6))/7,)*7+44</f>
        <v>#VALUE!</v>
      </c>
      <c r="BQ18" s="27" t="e">
        <f>DOLLAR((DAY(MINUTE(YEAR(BQ6)/38)/2+55)&amp;"/4/"&amp;YEAR(BQ6))/7,)*7+44</f>
        <v>#VALUE!</v>
      </c>
      <c r="BR18" s="27" t="e">
        <f t="shared" ref="BR18" si="35">DOLLAR((DAY(MINUTE(YEAR(BR6)/38)/2+55)&amp;"/4/"&amp;YEAR(BR6))/7,)*7+44</f>
        <v>#VALUE!</v>
      </c>
      <c r="BS18" s="27" t="e">
        <f>DOLLAR((DAY(MINUTE(YEAR(BS6)/38)/2+55)&amp;"/4/"&amp;YEAR(BS6))/7,)*7+44</f>
        <v>#VALUE!</v>
      </c>
      <c r="BT18" s="27" t="e">
        <f>DOLLAR((DAY(MINUTE(YEAR(BT6)/38)/2+55)&amp;"/4/"&amp;YEAR(BT6))/7,)*7+44</f>
        <v>#VALUE!</v>
      </c>
      <c r="BU18" s="27" t="e">
        <f t="shared" ref="BU18" si="36">DOLLAR((DAY(MINUTE(YEAR(BU6)/38)/2+55)&amp;"/4/"&amp;YEAR(BU6))/7,)*7+44</f>
        <v>#VALUE!</v>
      </c>
      <c r="BV18" s="27" t="e">
        <f>DOLLAR((DAY(MINUTE(YEAR(BV6)/38)/2+55)&amp;"/4/"&amp;YEAR(BV6))/7,)*7+44</f>
        <v>#VALUE!</v>
      </c>
      <c r="BW18" s="27" t="e">
        <f>DOLLAR((DAY(MINUTE(YEAR(BW6)/38)/2+55)&amp;"/4/"&amp;YEAR(BW6))/7,)*7+44</f>
        <v>#VALUE!</v>
      </c>
      <c r="BX18" s="27" t="e">
        <f t="shared" ref="BX18" si="37">DOLLAR((DAY(MINUTE(YEAR(BX6)/38)/2+55)&amp;"/4/"&amp;YEAR(BX6))/7,)*7+44</f>
        <v>#VALUE!</v>
      </c>
      <c r="BY18" s="27" t="e">
        <f>DOLLAR((DAY(MINUTE(YEAR(BY6)/38)/2+55)&amp;"/4/"&amp;YEAR(BY6))/7,)*7+44</f>
        <v>#VALUE!</v>
      </c>
      <c r="BZ18" s="27" t="e">
        <f>DOLLAR((DAY(MINUTE(YEAR(BZ6)/38)/2+55)&amp;"/4/"&amp;YEAR(BZ6))/7,)*7+44</f>
        <v>#VALUE!</v>
      </c>
      <c r="CA18" s="27" t="e">
        <f t="shared" ref="CA18" si="38">DOLLAR((DAY(MINUTE(YEAR(CA6)/38)/2+55)&amp;"/4/"&amp;YEAR(CA6))/7,)*7+44</f>
        <v>#VALUE!</v>
      </c>
      <c r="CB18" s="27" t="e">
        <f>DOLLAR((DAY(MINUTE(YEAR(CB6)/38)/2+55)&amp;"/4/"&amp;YEAR(CB6))/7,)*7+44</f>
        <v>#VALUE!</v>
      </c>
      <c r="CC18" s="27" t="e">
        <f>DOLLAR((DAY(MINUTE(YEAR(CC6)/38)/2+55)&amp;"/4/"&amp;YEAR(CC6))/7,)*7+44</f>
        <v>#VALUE!</v>
      </c>
      <c r="CD18" s="27" t="e">
        <f t="shared" ref="CD18" si="39">DOLLAR((DAY(MINUTE(YEAR(CD6)/38)/2+55)&amp;"/4/"&amp;YEAR(CD6))/7,)*7+44</f>
        <v>#VALUE!</v>
      </c>
      <c r="CE18" s="27" t="e">
        <f>DOLLAR((DAY(MINUTE(YEAR(CE6)/38)/2+55)&amp;"/4/"&amp;YEAR(CE6))/7,)*7+44</f>
        <v>#VALUE!</v>
      </c>
      <c r="CF18" s="27" t="e">
        <f>DOLLAR((DAY(MINUTE(YEAR(CF6)/38)/2+55)&amp;"/4/"&amp;YEAR(CF6))/7,)*7+44</f>
        <v>#VALUE!</v>
      </c>
      <c r="CG18" s="27" t="e">
        <f t="shared" ref="CG18" si="40">DOLLAR((DAY(MINUTE(YEAR(CG6)/38)/2+55)&amp;"/4/"&amp;YEAR(CG6))/7,)*7+44</f>
        <v>#VALUE!</v>
      </c>
      <c r="CH18" s="27" t="e">
        <f>DOLLAR((DAY(MINUTE(YEAR(CH6)/38)/2+55)&amp;"/4/"&amp;YEAR(CH6))/7,)*7+44</f>
        <v>#VALUE!</v>
      </c>
      <c r="CI18" s="27" t="e">
        <f>DOLLAR((DAY(MINUTE(YEAR(CI6)/38)/2+55)&amp;"/4/"&amp;YEAR(CI6))/7,)*7+44</f>
        <v>#VALUE!</v>
      </c>
      <c r="CJ18" s="27" t="e">
        <f t="shared" ref="CJ18" si="41">DOLLAR((DAY(MINUTE(YEAR(CJ6)/38)/2+55)&amp;"/4/"&amp;YEAR(CJ6))/7,)*7+44</f>
        <v>#VALUE!</v>
      </c>
      <c r="CK18" s="27" t="e">
        <f>DOLLAR((DAY(MINUTE(YEAR(CK6)/38)/2+55)&amp;"/4/"&amp;YEAR(CK6))/7,)*7+44</f>
        <v>#VALUE!</v>
      </c>
      <c r="CL18" s="27" t="e">
        <f>DOLLAR((DAY(MINUTE(YEAR(CL6)/38)/2+55)&amp;"/4/"&amp;YEAR(CL6))/7,)*7+44</f>
        <v>#VALUE!</v>
      </c>
      <c r="CM18" s="27" t="e">
        <f t="shared" ref="CM18" si="42">DOLLAR((DAY(MINUTE(YEAR(CM6)/38)/2+55)&amp;"/4/"&amp;YEAR(CM6))/7,)*7+44</f>
        <v>#VALUE!</v>
      </c>
      <c r="CN18" s="27" t="e">
        <f>DOLLAR((DAY(MINUTE(YEAR(CN6)/38)/2+55)&amp;"/4/"&amp;YEAR(CN6))/7,)*7+44</f>
        <v>#VALUE!</v>
      </c>
      <c r="CO18" s="27" t="e">
        <f>DOLLAR((DAY(MINUTE(YEAR(CO6)/38)/2+55)&amp;"/4/"&amp;YEAR(CO6))/7,)*7+44</f>
        <v>#VALUE!</v>
      </c>
      <c r="CP18" s="27" t="e">
        <f t="shared" ref="CP18" si="43">DOLLAR((DAY(MINUTE(YEAR(CP6)/38)/2+55)&amp;"/4/"&amp;YEAR(CP6))/7,)*7+44</f>
        <v>#VALUE!</v>
      </c>
      <c r="CQ18" s="27" t="e">
        <f>DOLLAR((DAY(MINUTE(YEAR(CQ6)/38)/2+55)&amp;"/4/"&amp;YEAR(CQ6))/7,)*7+44</f>
        <v>#VALUE!</v>
      </c>
      <c r="CR18" s="27" t="e">
        <f>DOLLAR((DAY(MINUTE(YEAR(CR6)/38)/2+55)&amp;"/4/"&amp;YEAR(CR6))/7,)*7+44</f>
        <v>#VALUE!</v>
      </c>
      <c r="CS18" s="27" t="e">
        <f t="shared" ref="CS18" si="44">DOLLAR((DAY(MINUTE(YEAR(CS6)/38)/2+55)&amp;"/4/"&amp;YEAR(CS6))/7,)*7+44</f>
        <v>#VALUE!</v>
      </c>
      <c r="CT18" s="27" t="e">
        <f>DOLLAR((DAY(MINUTE(YEAR(CT6)/38)/2+55)&amp;"/4/"&amp;YEAR(CT6))/7,)*7+44</f>
        <v>#VALUE!</v>
      </c>
      <c r="CU18" s="27" t="e">
        <f>DOLLAR((DAY(MINUTE(YEAR(CU6)/38)/2+55)&amp;"/4/"&amp;YEAR(CU6))/7,)*7+44</f>
        <v>#VALUE!</v>
      </c>
      <c r="CV18" s="27" t="e">
        <f t="shared" ref="CV18" si="45">DOLLAR((DAY(MINUTE(YEAR(CV6)/38)/2+55)&amp;"/4/"&amp;YEAR(CV6))/7,)*7+44</f>
        <v>#VALUE!</v>
      </c>
      <c r="CW18" s="27" t="e">
        <f>DOLLAR((DAY(MINUTE(YEAR(CW6)/38)/2+55)&amp;"/4/"&amp;YEAR(CW6))/7,)*7+44</f>
        <v>#VALUE!</v>
      </c>
      <c r="CX18" s="27" t="e">
        <f>DOLLAR((DAY(MINUTE(YEAR(CX6)/38)/2+55)&amp;"/4/"&amp;YEAR(CX6))/7,)*7+44</f>
        <v>#VALUE!</v>
      </c>
      <c r="CY18" s="27" t="e">
        <f t="shared" ref="CY18" si="46">DOLLAR((DAY(MINUTE(YEAR(CY6)/38)/2+55)&amp;"/4/"&amp;YEAR(CY6))/7,)*7+44</f>
        <v>#VALUE!</v>
      </c>
      <c r="CZ18" s="27" t="e">
        <f>DOLLAR((DAY(MINUTE(YEAR(CZ6)/38)/2+55)&amp;"/4/"&amp;YEAR(CZ6))/7,)*7+44</f>
        <v>#VALUE!</v>
      </c>
      <c r="DA18" s="27" t="e">
        <f>DOLLAR((DAY(MINUTE(YEAR(DA6)/38)/2+55)&amp;"/4/"&amp;YEAR(DA6))/7,)*7+44</f>
        <v>#VALUE!</v>
      </c>
      <c r="DB18" s="27" t="e">
        <f t="shared" ref="DB18" si="47">DOLLAR((DAY(MINUTE(YEAR(DB6)/38)/2+55)&amp;"/4/"&amp;YEAR(DB6))/7,)*7+44</f>
        <v>#VALUE!</v>
      </c>
    </row>
    <row r="19" spans="1:109" ht="15" customHeight="1">
      <c r="A19" s="44" t="s">
        <v>40</v>
      </c>
      <c r="B19" s="45"/>
      <c r="C19" s="46" t="str">
        <f>L41</f>
        <v/>
      </c>
      <c r="E19" s="45" t="str">
        <f>IF(OR(D22&lt;&gt;"",E22&lt;&gt;""),IF(B20&lt;&gt;"",U50+T67,""),"")</f>
        <v/>
      </c>
      <c r="G19" s="46" t="str">
        <f>IF(F22&lt;&gt;"",L42,IF(AND(B22&lt;&gt;"",D22="",E22="",F22=""),C19,""))</f>
        <v/>
      </c>
      <c r="H19" s="32"/>
      <c r="L19" s="131" t="s">
        <v>1038</v>
      </c>
      <c r="M19" s="31">
        <v>5</v>
      </c>
      <c r="N19" s="132"/>
      <c r="P19" s="49" t="s">
        <v>35</v>
      </c>
      <c r="Q19" s="48" t="e">
        <f t="shared" ref="Q19:AZ19" si="48">IF(Q6&lt;&gt;Q16,IF(Q6&lt;&gt;Q17,IF(Q6&lt;&gt;Q18,0,1),1),1)</f>
        <v>#VALUE!</v>
      </c>
      <c r="R19" s="48" t="e">
        <f t="shared" si="48"/>
        <v>#VALUE!</v>
      </c>
      <c r="S19" s="48" t="e">
        <f t="shared" si="48"/>
        <v>#VALUE!</v>
      </c>
      <c r="T19" s="48" t="e">
        <f t="shared" si="48"/>
        <v>#VALUE!</v>
      </c>
      <c r="U19" s="48" t="e">
        <f t="shared" si="48"/>
        <v>#VALUE!</v>
      </c>
      <c r="V19" s="48" t="e">
        <f t="shared" si="48"/>
        <v>#VALUE!</v>
      </c>
      <c r="W19" s="48" t="e">
        <f t="shared" si="48"/>
        <v>#VALUE!</v>
      </c>
      <c r="X19" s="48" t="e">
        <f t="shared" si="48"/>
        <v>#VALUE!</v>
      </c>
      <c r="Y19" s="48" t="e">
        <f t="shared" si="48"/>
        <v>#VALUE!</v>
      </c>
      <c r="Z19" s="48" t="e">
        <f t="shared" si="48"/>
        <v>#VALUE!</v>
      </c>
      <c r="AA19" s="48" t="e">
        <f t="shared" si="48"/>
        <v>#VALUE!</v>
      </c>
      <c r="AB19" s="48" t="e">
        <f t="shared" si="48"/>
        <v>#VALUE!</v>
      </c>
      <c r="AC19" s="48" t="e">
        <f t="shared" si="48"/>
        <v>#VALUE!</v>
      </c>
      <c r="AD19" s="48" t="e">
        <f t="shared" si="48"/>
        <v>#VALUE!</v>
      </c>
      <c r="AE19" s="48" t="e">
        <f t="shared" si="48"/>
        <v>#VALUE!</v>
      </c>
      <c r="AF19" s="48" t="e">
        <f t="shared" si="48"/>
        <v>#VALUE!</v>
      </c>
      <c r="AG19" s="48" t="e">
        <f t="shared" si="48"/>
        <v>#VALUE!</v>
      </c>
      <c r="AH19" s="48" t="e">
        <f t="shared" si="48"/>
        <v>#VALUE!</v>
      </c>
      <c r="AI19" s="48" t="e">
        <f t="shared" si="48"/>
        <v>#VALUE!</v>
      </c>
      <c r="AJ19" s="48" t="e">
        <f t="shared" si="48"/>
        <v>#VALUE!</v>
      </c>
      <c r="AK19" s="48" t="e">
        <f t="shared" si="48"/>
        <v>#VALUE!</v>
      </c>
      <c r="AL19" s="48" t="e">
        <f t="shared" si="48"/>
        <v>#VALUE!</v>
      </c>
      <c r="AM19" s="48" t="e">
        <f t="shared" si="48"/>
        <v>#VALUE!</v>
      </c>
      <c r="AN19" s="48" t="e">
        <f t="shared" si="48"/>
        <v>#VALUE!</v>
      </c>
      <c r="AO19" s="48" t="e">
        <f t="shared" si="48"/>
        <v>#VALUE!</v>
      </c>
      <c r="AP19" s="48" t="e">
        <f t="shared" si="48"/>
        <v>#VALUE!</v>
      </c>
      <c r="AQ19" s="48" t="e">
        <f t="shared" si="48"/>
        <v>#VALUE!</v>
      </c>
      <c r="AR19" s="48" t="e">
        <f t="shared" si="48"/>
        <v>#VALUE!</v>
      </c>
      <c r="AS19" s="48" t="e">
        <f t="shared" si="48"/>
        <v>#VALUE!</v>
      </c>
      <c r="AT19" s="48" t="e">
        <f t="shared" si="48"/>
        <v>#VALUE!</v>
      </c>
      <c r="AU19" s="48" t="e">
        <f t="shared" si="48"/>
        <v>#VALUE!</v>
      </c>
      <c r="AV19" s="48" t="e">
        <f t="shared" si="48"/>
        <v>#VALUE!</v>
      </c>
      <c r="AW19" s="48" t="e">
        <f t="shared" si="48"/>
        <v>#VALUE!</v>
      </c>
      <c r="AX19" s="48" t="e">
        <f t="shared" si="48"/>
        <v>#VALUE!</v>
      </c>
      <c r="AY19" s="48" t="e">
        <f t="shared" si="48"/>
        <v>#VALUE!</v>
      </c>
      <c r="AZ19" s="48" t="e">
        <f t="shared" si="48"/>
        <v>#VALUE!</v>
      </c>
      <c r="BA19" s="48" t="e">
        <f t="shared" ref="BA19:CF19" si="49">IF(BA6&lt;&gt;BA16,IF(BA6&lt;&gt;BA17,IF(BA6&lt;&gt;BA18,0,1),1),1)</f>
        <v>#VALUE!</v>
      </c>
      <c r="BB19" s="48" t="e">
        <f t="shared" si="49"/>
        <v>#VALUE!</v>
      </c>
      <c r="BC19" s="48" t="e">
        <f t="shared" si="49"/>
        <v>#VALUE!</v>
      </c>
      <c r="BD19" s="48" t="e">
        <f t="shared" si="49"/>
        <v>#VALUE!</v>
      </c>
      <c r="BE19" s="48" t="e">
        <f t="shared" si="49"/>
        <v>#VALUE!</v>
      </c>
      <c r="BF19" s="48" t="e">
        <f t="shared" si="49"/>
        <v>#VALUE!</v>
      </c>
      <c r="BG19" s="48" t="e">
        <f t="shared" si="49"/>
        <v>#VALUE!</v>
      </c>
      <c r="BH19" s="48" t="e">
        <f t="shared" si="49"/>
        <v>#VALUE!</v>
      </c>
      <c r="BI19" s="48" t="e">
        <f t="shared" si="49"/>
        <v>#VALUE!</v>
      </c>
      <c r="BJ19" s="48" t="e">
        <f t="shared" si="49"/>
        <v>#VALUE!</v>
      </c>
      <c r="BK19" s="48" t="e">
        <f t="shared" si="49"/>
        <v>#VALUE!</v>
      </c>
      <c r="BL19" s="48" t="e">
        <f t="shared" si="49"/>
        <v>#VALUE!</v>
      </c>
      <c r="BM19" s="48" t="e">
        <f t="shared" si="49"/>
        <v>#VALUE!</v>
      </c>
      <c r="BN19" s="48" t="e">
        <f t="shared" si="49"/>
        <v>#VALUE!</v>
      </c>
      <c r="BO19" s="48" t="e">
        <f t="shared" si="49"/>
        <v>#VALUE!</v>
      </c>
      <c r="BP19" s="48" t="e">
        <f t="shared" si="49"/>
        <v>#VALUE!</v>
      </c>
      <c r="BQ19" s="48" t="e">
        <f t="shared" si="49"/>
        <v>#VALUE!</v>
      </c>
      <c r="BR19" s="48" t="e">
        <f t="shared" si="49"/>
        <v>#VALUE!</v>
      </c>
      <c r="BS19" s="48" t="e">
        <f t="shared" si="49"/>
        <v>#VALUE!</v>
      </c>
      <c r="BT19" s="48" t="e">
        <f t="shared" si="49"/>
        <v>#VALUE!</v>
      </c>
      <c r="BU19" s="48" t="e">
        <f t="shared" si="49"/>
        <v>#VALUE!</v>
      </c>
      <c r="BV19" s="48" t="e">
        <f t="shared" si="49"/>
        <v>#VALUE!</v>
      </c>
      <c r="BW19" s="48" t="e">
        <f t="shared" si="49"/>
        <v>#VALUE!</v>
      </c>
      <c r="BX19" s="48" t="e">
        <f t="shared" si="49"/>
        <v>#VALUE!</v>
      </c>
      <c r="BY19" s="48" t="e">
        <f t="shared" si="49"/>
        <v>#VALUE!</v>
      </c>
      <c r="BZ19" s="48" t="e">
        <f t="shared" si="49"/>
        <v>#VALUE!</v>
      </c>
      <c r="CA19" s="48" t="e">
        <f t="shared" si="49"/>
        <v>#VALUE!</v>
      </c>
      <c r="CB19" s="48" t="e">
        <f t="shared" si="49"/>
        <v>#VALUE!</v>
      </c>
      <c r="CC19" s="48" t="e">
        <f t="shared" si="49"/>
        <v>#VALUE!</v>
      </c>
      <c r="CD19" s="48" t="e">
        <f t="shared" si="49"/>
        <v>#VALUE!</v>
      </c>
      <c r="CE19" s="48" t="e">
        <f t="shared" si="49"/>
        <v>#VALUE!</v>
      </c>
      <c r="CF19" s="48" t="e">
        <f t="shared" si="49"/>
        <v>#VALUE!</v>
      </c>
      <c r="CG19" s="48" t="e">
        <f t="shared" ref="CG19:DB19" si="50">IF(CG6&lt;&gt;CG16,IF(CG6&lt;&gt;CG17,IF(CG6&lt;&gt;CG18,0,1),1),1)</f>
        <v>#VALUE!</v>
      </c>
      <c r="CH19" s="48" t="e">
        <f t="shared" si="50"/>
        <v>#VALUE!</v>
      </c>
      <c r="CI19" s="48" t="e">
        <f t="shared" si="50"/>
        <v>#VALUE!</v>
      </c>
      <c r="CJ19" s="48" t="e">
        <f t="shared" si="50"/>
        <v>#VALUE!</v>
      </c>
      <c r="CK19" s="48" t="e">
        <f t="shared" si="50"/>
        <v>#VALUE!</v>
      </c>
      <c r="CL19" s="48" t="e">
        <f t="shared" si="50"/>
        <v>#VALUE!</v>
      </c>
      <c r="CM19" s="48" t="e">
        <f t="shared" si="50"/>
        <v>#VALUE!</v>
      </c>
      <c r="CN19" s="48" t="e">
        <f t="shared" si="50"/>
        <v>#VALUE!</v>
      </c>
      <c r="CO19" s="48" t="e">
        <f t="shared" si="50"/>
        <v>#VALUE!</v>
      </c>
      <c r="CP19" s="48" t="e">
        <f t="shared" si="50"/>
        <v>#VALUE!</v>
      </c>
      <c r="CQ19" s="48" t="e">
        <f t="shared" si="50"/>
        <v>#VALUE!</v>
      </c>
      <c r="CR19" s="48" t="e">
        <f t="shared" si="50"/>
        <v>#VALUE!</v>
      </c>
      <c r="CS19" s="48" t="e">
        <f t="shared" si="50"/>
        <v>#VALUE!</v>
      </c>
      <c r="CT19" s="48" t="e">
        <f t="shared" si="50"/>
        <v>#VALUE!</v>
      </c>
      <c r="CU19" s="48" t="e">
        <f t="shared" si="50"/>
        <v>#VALUE!</v>
      </c>
      <c r="CV19" s="48" t="e">
        <f t="shared" si="50"/>
        <v>#VALUE!</v>
      </c>
      <c r="CW19" s="48" t="e">
        <f t="shared" si="50"/>
        <v>#VALUE!</v>
      </c>
      <c r="CX19" s="48" t="e">
        <f t="shared" si="50"/>
        <v>#VALUE!</v>
      </c>
      <c r="CY19" s="48" t="e">
        <f t="shared" si="50"/>
        <v>#VALUE!</v>
      </c>
      <c r="CZ19" s="48" t="e">
        <f t="shared" si="50"/>
        <v>#VALUE!</v>
      </c>
      <c r="DA19" s="48" t="e">
        <f t="shared" si="50"/>
        <v>#VALUE!</v>
      </c>
      <c r="DB19" s="48" t="e">
        <f t="shared" si="50"/>
        <v>#VALUE!</v>
      </c>
    </row>
    <row r="20" spans="1:109" ht="15" customHeight="1">
      <c r="A20" s="37" t="s">
        <v>44</v>
      </c>
      <c r="B20" s="50" t="str">
        <f>IF(B22&lt;&gt;"",B22,"")</f>
        <v/>
      </c>
      <c r="C20" s="50" t="str">
        <f ca="1">IF(C22&lt;&gt;"",IF(C22&gt;L41,L41+1,C22),IF(TODAY()&gt;L41,L41+1,L41))</f>
        <v/>
      </c>
      <c r="D20" s="51" t="str">
        <f ca="1">IF(OR(C22&gt;L41,AND(C22="",TODAY()&gt;L41)),"Complet !","")</f>
        <v/>
      </c>
      <c r="E20" s="52" t="str">
        <f>IF(E22="",E19,E22)</f>
        <v/>
      </c>
      <c r="F20" s="52" t="str">
        <f ca="1">IF(AND(F22&lt;&gt;"",OR(G22&gt;L42,AND(G22="",TODAY()&gt;G19))),"Complet !",IF(F22&lt;&gt;"",F22,""))</f>
        <v/>
      </c>
      <c r="G20" s="50" t="str">
        <f ca="1">IF(OR(AND(D22&lt;&gt;"",E22&lt;&gt;"",F22=""),AND(D22="",E22&lt;&gt;"",F22="")),"",IF(G22&gt;L42,L42+1,IF(G22&lt;&gt;"",G22,IF(AND(F22&lt;&gt;"",TODAY()&gt;G19),L42+1,L42))))</f>
        <v/>
      </c>
      <c r="K20" s="53"/>
      <c r="L20" s="131" t="s">
        <v>1009</v>
      </c>
      <c r="M20" s="31">
        <v>10</v>
      </c>
      <c r="N20" s="132"/>
      <c r="P20" s="49" t="s">
        <v>57</v>
      </c>
      <c r="Q20" s="59" t="e">
        <f t="shared" ref="Q20:AT20" si="51">IF(OR(Q15=1,Q19=1),1,0)</f>
        <v>#VALUE!</v>
      </c>
      <c r="R20" s="59" t="e">
        <f t="shared" si="51"/>
        <v>#VALUE!</v>
      </c>
      <c r="S20" s="59" t="e">
        <f t="shared" si="51"/>
        <v>#VALUE!</v>
      </c>
      <c r="T20" s="59" t="e">
        <f t="shared" si="51"/>
        <v>#VALUE!</v>
      </c>
      <c r="U20" s="59" t="e">
        <f t="shared" si="51"/>
        <v>#VALUE!</v>
      </c>
      <c r="V20" s="59" t="e">
        <f t="shared" si="51"/>
        <v>#VALUE!</v>
      </c>
      <c r="W20" s="59" t="e">
        <f t="shared" si="51"/>
        <v>#VALUE!</v>
      </c>
      <c r="X20" s="59" t="e">
        <f t="shared" si="51"/>
        <v>#VALUE!</v>
      </c>
      <c r="Y20" s="59" t="e">
        <f t="shared" si="51"/>
        <v>#VALUE!</v>
      </c>
      <c r="Z20" s="59" t="e">
        <f t="shared" si="51"/>
        <v>#VALUE!</v>
      </c>
      <c r="AA20" s="59" t="e">
        <f t="shared" si="51"/>
        <v>#VALUE!</v>
      </c>
      <c r="AB20" s="59" t="e">
        <f t="shared" si="51"/>
        <v>#VALUE!</v>
      </c>
      <c r="AC20" s="59" t="e">
        <f t="shared" si="51"/>
        <v>#VALUE!</v>
      </c>
      <c r="AD20" s="59" t="e">
        <f t="shared" si="51"/>
        <v>#VALUE!</v>
      </c>
      <c r="AE20" s="59" t="e">
        <f t="shared" si="51"/>
        <v>#VALUE!</v>
      </c>
      <c r="AF20" s="59" t="e">
        <f t="shared" si="51"/>
        <v>#VALUE!</v>
      </c>
      <c r="AG20" s="59" t="e">
        <f t="shared" si="51"/>
        <v>#VALUE!</v>
      </c>
      <c r="AH20" s="59" t="e">
        <f t="shared" si="51"/>
        <v>#VALUE!</v>
      </c>
      <c r="AI20" s="59" t="e">
        <f t="shared" si="51"/>
        <v>#VALUE!</v>
      </c>
      <c r="AJ20" s="59" t="e">
        <f t="shared" si="51"/>
        <v>#VALUE!</v>
      </c>
      <c r="AK20" s="59" t="e">
        <f t="shared" si="51"/>
        <v>#VALUE!</v>
      </c>
      <c r="AL20" s="59" t="e">
        <f t="shared" si="51"/>
        <v>#VALUE!</v>
      </c>
      <c r="AM20" s="59" t="e">
        <f t="shared" si="51"/>
        <v>#VALUE!</v>
      </c>
      <c r="AN20" s="59" t="e">
        <f t="shared" si="51"/>
        <v>#VALUE!</v>
      </c>
      <c r="AO20" s="59" t="e">
        <f t="shared" si="51"/>
        <v>#VALUE!</v>
      </c>
      <c r="AP20" s="59" t="e">
        <f t="shared" si="51"/>
        <v>#VALUE!</v>
      </c>
      <c r="AQ20" s="59" t="e">
        <f t="shared" si="51"/>
        <v>#VALUE!</v>
      </c>
      <c r="AR20" s="59" t="e">
        <f t="shared" si="51"/>
        <v>#VALUE!</v>
      </c>
      <c r="AS20" s="59" t="e">
        <f t="shared" si="51"/>
        <v>#VALUE!</v>
      </c>
      <c r="AT20" s="59" t="e">
        <f t="shared" si="51"/>
        <v>#VALUE!</v>
      </c>
      <c r="AU20" s="59" t="e">
        <f t="shared" ref="AU20:AZ20" si="52">IF(OR(AU15=1,AU19=1),1,0)</f>
        <v>#VALUE!</v>
      </c>
      <c r="AV20" s="59" t="e">
        <f t="shared" si="52"/>
        <v>#VALUE!</v>
      </c>
      <c r="AW20" s="59" t="e">
        <f t="shared" si="52"/>
        <v>#VALUE!</v>
      </c>
      <c r="AX20" s="59" t="e">
        <f t="shared" si="52"/>
        <v>#VALUE!</v>
      </c>
      <c r="AY20" s="59" t="e">
        <f t="shared" si="52"/>
        <v>#VALUE!</v>
      </c>
      <c r="AZ20" s="59" t="e">
        <f t="shared" si="52"/>
        <v>#VALUE!</v>
      </c>
      <c r="BA20" s="59" t="e">
        <f t="shared" ref="BA20:CF20" si="53">IF(OR(BA15=1,BA19=1),1,0)</f>
        <v>#VALUE!</v>
      </c>
      <c r="BB20" s="59" t="e">
        <f t="shared" si="53"/>
        <v>#VALUE!</v>
      </c>
      <c r="BC20" s="59" t="e">
        <f t="shared" si="53"/>
        <v>#VALUE!</v>
      </c>
      <c r="BD20" s="59" t="e">
        <f t="shared" si="53"/>
        <v>#VALUE!</v>
      </c>
      <c r="BE20" s="59" t="e">
        <f t="shared" si="53"/>
        <v>#VALUE!</v>
      </c>
      <c r="BF20" s="59" t="e">
        <f t="shared" si="53"/>
        <v>#VALUE!</v>
      </c>
      <c r="BG20" s="59" t="e">
        <f t="shared" si="53"/>
        <v>#VALUE!</v>
      </c>
      <c r="BH20" s="59" t="e">
        <f t="shared" si="53"/>
        <v>#VALUE!</v>
      </c>
      <c r="BI20" s="59" t="e">
        <f t="shared" si="53"/>
        <v>#VALUE!</v>
      </c>
      <c r="BJ20" s="59" t="e">
        <f t="shared" si="53"/>
        <v>#VALUE!</v>
      </c>
      <c r="BK20" s="59" t="e">
        <f t="shared" si="53"/>
        <v>#VALUE!</v>
      </c>
      <c r="BL20" s="59" t="e">
        <f t="shared" si="53"/>
        <v>#VALUE!</v>
      </c>
      <c r="BM20" s="59" t="e">
        <f t="shared" si="53"/>
        <v>#VALUE!</v>
      </c>
      <c r="BN20" s="59" t="e">
        <f t="shared" si="53"/>
        <v>#VALUE!</v>
      </c>
      <c r="BO20" s="59" t="e">
        <f t="shared" si="53"/>
        <v>#VALUE!</v>
      </c>
      <c r="BP20" s="59" t="e">
        <f t="shared" si="53"/>
        <v>#VALUE!</v>
      </c>
      <c r="BQ20" s="59" t="e">
        <f t="shared" si="53"/>
        <v>#VALUE!</v>
      </c>
      <c r="BR20" s="59" t="e">
        <f t="shared" si="53"/>
        <v>#VALUE!</v>
      </c>
      <c r="BS20" s="59" t="e">
        <f t="shared" si="53"/>
        <v>#VALUE!</v>
      </c>
      <c r="BT20" s="59" t="e">
        <f t="shared" si="53"/>
        <v>#VALUE!</v>
      </c>
      <c r="BU20" s="59" t="e">
        <f t="shared" si="53"/>
        <v>#VALUE!</v>
      </c>
      <c r="BV20" s="59" t="e">
        <f t="shared" si="53"/>
        <v>#VALUE!</v>
      </c>
      <c r="BW20" s="59" t="e">
        <f t="shared" si="53"/>
        <v>#VALUE!</v>
      </c>
      <c r="BX20" s="59" t="e">
        <f t="shared" si="53"/>
        <v>#VALUE!</v>
      </c>
      <c r="BY20" s="59" t="e">
        <f t="shared" si="53"/>
        <v>#VALUE!</v>
      </c>
      <c r="BZ20" s="59" t="e">
        <f t="shared" si="53"/>
        <v>#VALUE!</v>
      </c>
      <c r="CA20" s="59" t="e">
        <f t="shared" si="53"/>
        <v>#VALUE!</v>
      </c>
      <c r="CB20" s="59" t="e">
        <f t="shared" si="53"/>
        <v>#VALUE!</v>
      </c>
      <c r="CC20" s="59" t="e">
        <f t="shared" si="53"/>
        <v>#VALUE!</v>
      </c>
      <c r="CD20" s="59" t="e">
        <f t="shared" si="53"/>
        <v>#VALUE!</v>
      </c>
      <c r="CE20" s="59" t="e">
        <f t="shared" si="53"/>
        <v>#VALUE!</v>
      </c>
      <c r="CF20" s="59" t="e">
        <f t="shared" si="53"/>
        <v>#VALUE!</v>
      </c>
      <c r="CG20" s="59" t="e">
        <f t="shared" ref="CG20:DB20" si="54">IF(OR(CG15=1,CG19=1),1,0)</f>
        <v>#VALUE!</v>
      </c>
      <c r="CH20" s="59" t="e">
        <f t="shared" si="54"/>
        <v>#VALUE!</v>
      </c>
      <c r="CI20" s="59" t="e">
        <f t="shared" si="54"/>
        <v>#VALUE!</v>
      </c>
      <c r="CJ20" s="59" t="e">
        <f t="shared" si="54"/>
        <v>#VALUE!</v>
      </c>
      <c r="CK20" s="59" t="e">
        <f t="shared" si="54"/>
        <v>#VALUE!</v>
      </c>
      <c r="CL20" s="59" t="e">
        <f t="shared" si="54"/>
        <v>#VALUE!</v>
      </c>
      <c r="CM20" s="59" t="e">
        <f t="shared" si="54"/>
        <v>#VALUE!</v>
      </c>
      <c r="CN20" s="59" t="e">
        <f t="shared" si="54"/>
        <v>#VALUE!</v>
      </c>
      <c r="CO20" s="59" t="e">
        <f t="shared" si="54"/>
        <v>#VALUE!</v>
      </c>
      <c r="CP20" s="59" t="e">
        <f t="shared" si="54"/>
        <v>#VALUE!</v>
      </c>
      <c r="CQ20" s="59" t="e">
        <f t="shared" si="54"/>
        <v>#VALUE!</v>
      </c>
      <c r="CR20" s="59" t="e">
        <f t="shared" si="54"/>
        <v>#VALUE!</v>
      </c>
      <c r="CS20" s="59" t="e">
        <f t="shared" si="54"/>
        <v>#VALUE!</v>
      </c>
      <c r="CT20" s="59" t="e">
        <f t="shared" si="54"/>
        <v>#VALUE!</v>
      </c>
      <c r="CU20" s="59" t="e">
        <f t="shared" si="54"/>
        <v>#VALUE!</v>
      </c>
      <c r="CV20" s="59" t="e">
        <f t="shared" si="54"/>
        <v>#VALUE!</v>
      </c>
      <c r="CW20" s="59" t="e">
        <f t="shared" si="54"/>
        <v>#VALUE!</v>
      </c>
      <c r="CX20" s="59" t="e">
        <f t="shared" si="54"/>
        <v>#VALUE!</v>
      </c>
      <c r="CY20" s="59" t="e">
        <f t="shared" si="54"/>
        <v>#VALUE!</v>
      </c>
      <c r="CZ20" s="59" t="e">
        <f t="shared" si="54"/>
        <v>#VALUE!</v>
      </c>
      <c r="DA20" s="59" t="e">
        <f t="shared" si="54"/>
        <v>#VALUE!</v>
      </c>
      <c r="DB20" s="59" t="e">
        <f t="shared" si="54"/>
        <v>#VALUE!</v>
      </c>
      <c r="DD20" s="68"/>
      <c r="DE20" s="68"/>
    </row>
    <row r="21" spans="1:109" ht="15" customHeight="1">
      <c r="A21" s="4" t="s">
        <v>47</v>
      </c>
      <c r="B21" s="54" t="str">
        <f>IF(B20&lt;&gt;"",TEXT(B20,"jjjj"),"")</f>
        <v/>
      </c>
      <c r="C21" s="54" t="str">
        <f ca="1">IF(C20&lt;&gt;"",TEXT(C20,"jjjj"),"")</f>
        <v/>
      </c>
      <c r="D21" s="55" t="str">
        <f>IF(D22&lt;&gt;"",TEXT(D22,"jjjj"),"")</f>
        <v/>
      </c>
      <c r="E21" s="55" t="str">
        <f>IF(E20&lt;&gt;"",TEXT(E20,"jjjj"),"")</f>
        <v/>
      </c>
      <c r="F21" s="55" t="str">
        <f>IF(F22&lt;&gt;"",TEXT(F22,"jjjj"),"")</f>
        <v/>
      </c>
      <c r="G21" s="54" t="str">
        <f ca="1">IF(G20&lt;&gt;"",TEXT(G20,"jjjj"),"")</f>
        <v/>
      </c>
      <c r="I21">
        <f ca="1">IF(AND(L75=2,L83=6,ArtD68!B24&lt;&gt;"",ArtD68!B24&lt;&gt;"Sans"),ArtD68!B24,0)</f>
        <v>0</v>
      </c>
      <c r="L21" s="131" t="s">
        <v>45</v>
      </c>
      <c r="M21" s="31">
        <v>10</v>
      </c>
      <c r="N21" s="132"/>
      <c r="P21" s="1"/>
    </row>
    <row r="22" spans="1:109" ht="15" customHeight="1">
      <c r="A22" s="37" t="s">
        <v>50</v>
      </c>
      <c r="B22" s="56"/>
      <c r="C22" s="56"/>
      <c r="D22" s="56"/>
      <c r="E22" s="56"/>
      <c r="F22" s="56"/>
      <c r="G22" s="56"/>
      <c r="L22" s="131" t="s">
        <v>48</v>
      </c>
      <c r="M22" s="31">
        <v>30</v>
      </c>
      <c r="N22" s="132"/>
      <c r="P22" s="1" t="s">
        <v>63</v>
      </c>
      <c r="Q22" s="10" t="e">
        <f>IF(AND(Q7&lt;&gt;"samedi",Q7&lt;&gt;"dimanche"),IF(AND(Q20=1,Q7="vendredi"),3,IF(AND(Q20=1,Q7="samedi"),2,IF(Q20=1,1,0))),IF(AND(Q7="samedi",S20=1),3,IF(Q7="samedi",2,IF(AND(Q7="dimanche",R20=1),2,1))))</f>
        <v>#VALUE!</v>
      </c>
      <c r="T22" s="10" t="e">
        <f>IF(AND(T7&lt;&gt;"samedi",T7&lt;&gt;"dimanche"),IF(AND(T20=1,T7="vendredi"),3,IF(AND(T20=1,T7="samedi"),2,IF(T20=1,1,0))),IF(AND(T7="samedi",V20=1),3,IF(T7="samedi",2,IF(AND(T7="dimanche",U20=1),2,1))))</f>
        <v>#VALUE!</v>
      </c>
      <c r="W22" s="10" t="e">
        <f>IF(AND(W7&lt;&gt;"samedi",W7&lt;&gt;"dimanche"),IF(AND(W20=1,W7="vendredi"),3,IF(AND(W20=1,W7="samedi"),2,IF(W20=1,1,0))),IF(AND(W7="samedi",Y20=1),3,IF(W7="samedi",2,IF(AND(W7="dimanche",X20=1),2,1))))</f>
        <v>#VALUE!</v>
      </c>
      <c r="Z22" s="10" t="e">
        <f>IF(AND(Z7&lt;&gt;"samedi",Z7&lt;&gt;"dimanche"),IF(AND(Z20=1,Z7="vendredi"),3,IF(AND(Z20=1,Z7="samedi"),2,IF(Z20=1,1,0))),IF(AND(Z7="samedi",AB20=1),3,IF(Z7="samedi",2,IF(AND(Z7="dimanche",AA20=1),2,1))))</f>
        <v>#VALUE!</v>
      </c>
      <c r="AC22" s="10" t="e">
        <f>IF(AND(AC7&lt;&gt;"samedi",AC7&lt;&gt;"dimanche"),IF(AND(AC20=1,AC7="vendredi"),3,IF(AND(AC20=1,AC7="samedi"),2,IF(AC20=1,1,0))),IF(AND(AC7="samedi",AE20=1),3,IF(AC7="samedi",2,IF(AND(AC7="dimanche",AD20=1),2,1))))</f>
        <v>#VALUE!</v>
      </c>
      <c r="AF22" s="10" t="e">
        <f>IF(AND(AF7&lt;&gt;"samedi",AF7&lt;&gt;"dimanche"),IF(AND(AF20=1,AF7="vendredi"),3,IF(AND(AF20=1,AF7="samedi"),2,IF(AF20=1,1,0))),IF(AND(AF7="samedi",AH20=1),3,IF(AF7="samedi",2,IF(AND(AF7="dimanche",AG20=1),2,1))))</f>
        <v>#VALUE!</v>
      </c>
      <c r="AI22" s="10" t="e">
        <f>IF(AND(AI7&lt;&gt;"samedi",AI7&lt;&gt;"dimanche"),IF(AND(AI20=1,AI7="vendredi"),3,IF(AND(AI20=1,AI7="samedi"),2,IF(AI20=1,1,0))),IF(AND(AI7="samedi",AK20=1),3,IF(AI7="samedi",2,IF(AND(AI7="dimanche",AJ20=1),2,1))))</f>
        <v>#VALUE!</v>
      </c>
      <c r="AL22" s="10" t="e">
        <f>IF(AND(AL7&lt;&gt;"samedi",AL7&lt;&gt;"dimanche"),IF(AND(AL20=1,AL7="vendredi"),3,IF(AND(AL20=1,AL7="samedi"),2,IF(AL20=1,1,0))),IF(AND(AL7="samedi",AN20=1),3,IF(AL7="samedi",2,IF(AND(AL7="dimanche",AM20=1),2,1))))</f>
        <v>#VALUE!</v>
      </c>
      <c r="AO22" s="10" t="e">
        <f>IF(AND(AO7&lt;&gt;"samedi",AO7&lt;&gt;"dimanche"),IF(AND(AO20=1,AO7="vendredi"),3,IF(AND(AO20=1,AO7="samedi"),2,IF(AO20=1,1,0))),IF(AND(AO7="samedi",AQ20=1),3,IF(AO7="samedi",2,IF(AND(AO7="dimanche",AP20=1),2,1))))</f>
        <v>#VALUE!</v>
      </c>
      <c r="AR22" s="10" t="e">
        <f>IF(AND(AR7&lt;&gt;"samedi",AR7&lt;&gt;"dimanche"),IF(AND(AR20=1,AR7="vendredi"),3,IF(AND(AR20=1,AR7="samedi"),2,IF(AR20=1,1,0))),IF(AND(AR7="samedi",AT20=1),3,IF(AR7="samedi",2,IF(AND(AR7="dimanche",AS20=1),2,1))))</f>
        <v>#VALUE!</v>
      </c>
      <c r="AU22" s="10" t="e">
        <f>IF(AND(AU7&lt;&gt;"samedi",AU7&lt;&gt;"dimanche"),IF(AND(AU20=1,AU7="vendredi"),3,IF(AND(AU20=1,AU7="samedi"),2,IF(AU20=1,1,0))),IF(AND(AU7="samedi",AW20=1),3,IF(AU7="samedi",2,IF(AND(AU7="dimanche",AV20=1),2,1))))</f>
        <v>#VALUE!</v>
      </c>
      <c r="AX22" s="10" t="e">
        <f>IF(AND(AX7&lt;&gt;"samedi",AX7&lt;&gt;"dimanche"),IF(AND(AX20=1,AX7="vendredi"),3,IF(AND(AX20=1,AX7="samedi"),2,IF(AX20=1,1,0))),IF(AND(AX7="samedi",AZ20=1),3,IF(AX7="samedi",2,IF(AND(AX7="dimanche",AY20=1),2,1))))</f>
        <v>#VALUE!</v>
      </c>
      <c r="BA22" s="10" t="e">
        <f>IF(AND(BA7&lt;&gt;"samedi",BA7&lt;&gt;"dimanche"),IF(AND(BA20=1,BA7="vendredi"),3,IF(AND(BA20=1,BA7="samedi"),2,IF(BA20=1,1,0))),IF(AND(BA7="samedi",BC20=1),3,IF(BA7="samedi",2,IF(AND(BA7="dimanche",BB20=1),2,1))))</f>
        <v>#VALUE!</v>
      </c>
      <c r="BD22" s="10" t="e">
        <f>IF(AND(BD7&lt;&gt;"samedi",BD7&lt;&gt;"dimanche"),IF(AND(BD20=1,BD7="vendredi"),3,IF(AND(BD20=1,BD7="samedi"),2,IF(BD20=1,1,0))),IF(AND(BD7="samedi",BF20=1),3,IF(BD7="samedi",2,IF(AND(BD7="dimanche",BE20=1),2,1))))</f>
        <v>#VALUE!</v>
      </c>
      <c r="BG22" s="10" t="e">
        <f>IF(AND(BG7&lt;&gt;"samedi",BG7&lt;&gt;"dimanche"),IF(AND(BG20=1,BG7="vendredi"),3,IF(AND(BG20=1,BG7="samedi"),2,IF(BG20=1,1,0))),IF(AND(BG7="samedi",BI20=1),3,IF(BG7="samedi",2,IF(AND(BG7="dimanche",BH20=1),2,1))))</f>
        <v>#VALUE!</v>
      </c>
      <c r="BJ22" s="10" t="e">
        <f>IF(AND(BJ7&lt;&gt;"samedi",BJ7&lt;&gt;"dimanche"),IF(AND(BJ20=1,BJ7="vendredi"),3,IF(AND(BJ20=1,BJ7="samedi"),2,IF(BJ20=1,1,0))),IF(AND(BJ7="samedi",BL20=1),3,IF(BJ7="samedi",2,IF(AND(BJ7="dimanche",BK20=1),2,1))))</f>
        <v>#VALUE!</v>
      </c>
      <c r="BM22" s="10" t="e">
        <f>IF(AND(BM7&lt;&gt;"samedi",BM7&lt;&gt;"dimanche"),IF(AND(BM20=1,BM7="vendredi"),3,IF(AND(BM20=1,BM7="samedi"),2,IF(BM20=1,1,0))),IF(AND(BM7="samedi",BO20=1),3,IF(BM7="samedi",2,IF(AND(BM7="dimanche",BN20=1),2,1))))</f>
        <v>#VALUE!</v>
      </c>
      <c r="BP22" s="10" t="e">
        <f>IF(AND(BP7&lt;&gt;"samedi",BP7&lt;&gt;"dimanche"),IF(AND(BP20=1,BP7="vendredi"),3,IF(AND(BP20=1,BP7="samedi"),2,IF(BP20=1,1,0))),IF(AND(BP7="samedi",BR20=1),3,IF(BP7="samedi",2,IF(AND(BP7="dimanche",BQ20=1),2,1))))</f>
        <v>#VALUE!</v>
      </c>
      <c r="BS22" s="10" t="e">
        <f>IF(AND(BS7&lt;&gt;"samedi",BS7&lt;&gt;"dimanche"),IF(AND(BS20=1,BS7="vendredi"),3,IF(AND(BS20=1,BS7="samedi"),2,IF(BS20=1,1,0))),IF(AND(BS7="samedi",BU20=1),3,IF(BS7="samedi",2,IF(AND(BS7="dimanche",BT20=1),2,1))))</f>
        <v>#VALUE!</v>
      </c>
      <c r="BV22" s="10" t="e">
        <f>IF(AND(BV7&lt;&gt;"samedi",BV7&lt;&gt;"dimanche"),IF(AND(BV20=1,BV7="vendredi"),3,IF(AND(BV20=1,BV7="samedi"),2,IF(BV20=1,1,0))),IF(AND(BV7="samedi",BX20=1),3,IF(BV7="samedi",2,IF(AND(BV7="dimanche",BW20=1),2,1))))</f>
        <v>#VALUE!</v>
      </c>
      <c r="BY22" s="10" t="e">
        <f>IF(AND(BY7&lt;&gt;"samedi",BY7&lt;&gt;"dimanche"),IF(AND(BY20=1,BY7="vendredi"),3,IF(AND(BY20=1,BY7="samedi"),2,IF(BY20=1,1,0))),IF(AND(BY7="samedi",CA20=1),3,IF(BY7="samedi",2,IF(AND(BY7="dimanche",BZ20=1),2,1))))</f>
        <v>#VALUE!</v>
      </c>
      <c r="CB22" s="10" t="e">
        <f>IF(AND(CB7&lt;&gt;"samedi",CB7&lt;&gt;"dimanche"),IF(AND(CB20=1,CB7="vendredi"),3,IF(AND(CB20=1,CB7="samedi"),2,IF(CB20=1,1,0))),IF(AND(CB7="samedi",CD20=1),3,IF(CB7="samedi",2,IF(AND(CB7="dimanche",CC20=1),2,1))))</f>
        <v>#VALUE!</v>
      </c>
      <c r="CE22" s="10" t="e">
        <f>IF(AND(CE7&lt;&gt;"samedi",CE7&lt;&gt;"dimanche"),IF(AND(CE20=1,CE7="vendredi"),3,IF(AND(CE20=1,CE7="samedi"),2,IF(CE20=1,1,0))),IF(AND(CE7="samedi",CG20=1),3,IF(CE7="samedi",2,IF(AND(CE7="dimanche",CF20=1),2,1))))</f>
        <v>#VALUE!</v>
      </c>
      <c r="CH22" s="10" t="e">
        <f>IF(AND(CH7&lt;&gt;"samedi",CH7&lt;&gt;"dimanche"),IF(AND(CH20=1,CH7="vendredi"),3,IF(AND(CH20=1,CH7="samedi"),2,IF(CH20=1,1,0))),IF(AND(CH7="samedi",CJ20=1),3,IF(CH7="samedi",2,IF(AND(CH7="dimanche",CI20=1),2,1))))</f>
        <v>#VALUE!</v>
      </c>
      <c r="CK22" s="10" t="e">
        <f>IF(AND(CK7&lt;&gt;"samedi",CK7&lt;&gt;"dimanche"),IF(AND(CK20=1,CK7="vendredi"),3,IF(AND(CK20=1,CK7="samedi"),2,IF(CK20=1,1,0))),IF(AND(CK7="samedi",CM20=1),3,IF(CK7="samedi",2,IF(AND(CK7="dimanche",CL20=1),2,1))))</f>
        <v>#VALUE!</v>
      </c>
      <c r="CN22" s="10" t="e">
        <f>IF(AND(CN7&lt;&gt;"samedi",CN7&lt;&gt;"dimanche"),IF(AND(CN20=1,CN7="vendredi"),3,IF(AND(CN20=1,CN7="samedi"),2,IF(CN20=1,1,0))),IF(AND(CN7="samedi",CP20=1),3,IF(CN7="samedi",2,IF(AND(CN7="dimanche",CO20=1),2,1))))</f>
        <v>#VALUE!</v>
      </c>
      <c r="CQ22" s="10" t="e">
        <f>IF(AND(CQ7&lt;&gt;"samedi",CQ7&lt;&gt;"dimanche"),IF(AND(CQ20=1,CQ7="vendredi"),3,IF(AND(CQ20=1,CQ7="samedi"),2,IF(CQ20=1,1,0))),IF(AND(CQ7="samedi",CS20=1),3,IF(CQ7="samedi",2,IF(AND(CQ7="dimanche",CR20=1),2,1))))</f>
        <v>#VALUE!</v>
      </c>
      <c r="CT22" s="10" t="e">
        <f>IF(AND(CT7&lt;&gt;"samedi",CT7&lt;&gt;"dimanche"),IF(AND(CT20=1,CT7="vendredi"),3,IF(AND(CT20=1,CT7="samedi"),2,IF(CT20=1,1,0))),IF(AND(CT7="samedi",CV20=1),3,IF(CT7="samedi",2,IF(AND(CT7="dimanche",CU20=1),2,1))))</f>
        <v>#VALUE!</v>
      </c>
      <c r="CW22" s="10" t="e">
        <f>IF(AND(CW7&lt;&gt;"samedi",CW7&lt;&gt;"dimanche"),IF(AND(CW20=1,CW7="vendredi"),3,IF(AND(CW20=1,CW7="samedi"),2,IF(CW20=1,1,0))),IF(AND(CW7="samedi",CY20=1),3,IF(CW7="samedi",2,IF(AND(CW7="dimanche",CX20=1),2,1))))</f>
        <v>#VALUE!</v>
      </c>
      <c r="CZ22" s="10" t="e">
        <f>IF(AND(CZ7&lt;&gt;"samedi",CZ7&lt;&gt;"dimanche"),IF(AND(CZ20=1,CZ7="vendredi"),3,IF(AND(CZ20=1,CZ7="samedi"),2,IF(CZ20=1,1,0))),IF(AND(CZ7="samedi",DB20=1),3,IF(CZ7="samedi",2,IF(AND(CZ7="dimanche",DA20=1),2,1))))</f>
        <v>#VALUE!</v>
      </c>
    </row>
    <row r="23" spans="1:109" ht="15" customHeight="1">
      <c r="C23" s="120" t="str">
        <f>IF(C19&lt;&gt;"",IF(OR(Q78&lt;&gt;0,R83&lt;&gt;0,R85&lt;&gt;0),R78,""),"")</f>
        <v/>
      </c>
      <c r="G23" s="120" t="str">
        <f>IF(G19&lt;&gt;"",IF(OR(W78&lt;&gt;0,X83&lt;&gt;0,X85&lt;&gt;0),X78,""),"")</f>
        <v/>
      </c>
      <c r="L23" s="131" t="s">
        <v>52</v>
      </c>
      <c r="M23" s="31">
        <v>25</v>
      </c>
      <c r="N23" s="132"/>
      <c r="P23" s="1"/>
    </row>
    <row r="24" spans="1:109" ht="18" customHeight="1">
      <c r="A24" s="1"/>
      <c r="B24" s="106"/>
      <c r="C24" s="1"/>
      <c r="D24" s="1"/>
      <c r="E24" s="1"/>
      <c r="F24" s="1"/>
      <c r="G24" s="136"/>
      <c r="H24" s="1"/>
      <c r="K24" s="32"/>
      <c r="L24" s="131" t="s">
        <v>55</v>
      </c>
      <c r="M24" s="31">
        <v>50</v>
      </c>
      <c r="N24" s="132"/>
      <c r="P24" s="1"/>
      <c r="Q24" s="180" t="s">
        <v>1014</v>
      </c>
      <c r="R24" s="180"/>
      <c r="T24" s="180" t="s">
        <v>1015</v>
      </c>
      <c r="U24" s="180"/>
      <c r="W24" s="180" t="s">
        <v>62</v>
      </c>
      <c r="X24" s="202"/>
      <c r="Y24" s="7"/>
      <c r="Z24" s="81" t="s">
        <v>1068</v>
      </c>
      <c r="AA24" s="81"/>
      <c r="AB24" s="81"/>
      <c r="AC24" s="81" t="s">
        <v>1069</v>
      </c>
      <c r="AD24" s="81"/>
      <c r="AE24" s="81"/>
      <c r="AF24" s="81" t="s">
        <v>1095</v>
      </c>
      <c r="AG24" s="81"/>
      <c r="AH24" s="81"/>
    </row>
    <row r="25" spans="1:109" ht="15" customHeight="1">
      <c r="F25" s="355" t="str">
        <f ca="1">IF(B22&lt;&gt;"",IF(L90&lt;&gt;3,IF(L90=0,IF(AND(G33&lt;&gt;"",OR(TODAY()&lt;=G30,G33&lt;=G30)),"Décision de l'autorité",""),IF(L90=1,"Refus tacite","RS = décision")),""),"")</f>
        <v/>
      </c>
      <c r="G25" s="355"/>
      <c r="K25" s="23"/>
      <c r="L25" s="131" t="s">
        <v>980</v>
      </c>
      <c r="M25" s="31">
        <v>30</v>
      </c>
      <c r="N25" s="132"/>
      <c r="P25" s="1" t="s">
        <v>65</v>
      </c>
      <c r="Q25" s="181" t="s">
        <v>81</v>
      </c>
      <c r="R25" s="63" t="e">
        <f ca="1">IF(D20&lt;&gt;"Complet !",IF(OR(L75=1,L76=TRUE,L83=6),IF(G20&lt;&gt;"",G20+M22-1,G20+M22-1),IF(G20&lt;&gt;"",G20+M21-1,G20+M21-1)),IF(OR(L75=1,L76=TRUE,L83=6),G20+M22-1,G20+M21-1))</f>
        <v>#VALUE!</v>
      </c>
      <c r="S25" s="64" t="e">
        <f ca="1">TEXT(R25,"jjjj")</f>
        <v>#VALUE!</v>
      </c>
      <c r="T25" s="181" t="s">
        <v>81</v>
      </c>
      <c r="U25" s="63" t="e">
        <f ca="1">IF(D20&lt;&gt;"Complet !",IF(OR(L75=1,L76=TRUE,L83=6),IF(G22&lt;&gt;"",G22+M24-1,G20+M24-1),IF(G22&lt;&gt;"",G22+M23-1,G20+M23-1)),IF(OR(L75=1,L76=TRUE,L83=6),G20+M24-1,G20+M23-1))</f>
        <v>#VALUE!</v>
      </c>
      <c r="V25" s="64" t="e">
        <f ca="1">TEXT(U25,"jjjj")</f>
        <v>#VALUE!</v>
      </c>
      <c r="W25" s="181" t="s">
        <v>81</v>
      </c>
      <c r="X25" s="63" t="str">
        <f ca="1">IF(G20&lt;&gt;"",IF(B22&lt;&gt;"",IF(AND(OR(L74=TRUE,ArtD68!J24=0),L75=2),IF(ArtD68!J28=1,G20+IF(L76=FALSE,M31,0),IF(ArtD68!J33=1,ArtD68!E19+1,IF(ArtD68!J22=1,IF(ArtD68!F20&lt;&gt;"",ArtD68!F20,IF(ArtD68!E20&lt;&gt;"",ArtD68!E20,ArtD68!E19)),G20))),G20),"")+IF(OR(L83=2,L83=3,L83=6),IF(OR(L75=1,L76=TRUE,L83=6),IF(L79=1,M9,M12)+IF(AND(B47&lt;&gt;"",L71=TRUE),B47,0),IF(L79=1,M8+IF(AND(B47&lt;&gt;"",L71=TRUE),B47,0)+IF(L76=TRUE,M16-M16,0),M10+IF(AND(B47&lt;&gt;"",L71=TRUE),B47,0)+IF(L76=TRUE,M16-M16,0))),M29)+J2,"")</f>
        <v/>
      </c>
      <c r="Y25" s="64" t="str">
        <f ca="1">TEXT(X25,"jjjj")</f>
        <v/>
      </c>
      <c r="Z25" s="34" t="s">
        <v>81</v>
      </c>
      <c r="AA25" s="25" t="b">
        <f>IF(B20&lt;&gt;"",IF(B30&lt;&gt;"",B30+C28+MAX(K29,K33)-1,""))</f>
        <v>0</v>
      </c>
      <c r="AB25" s="83" t="str">
        <f>TEXT(AA25,"jjjj")</f>
        <v>FAUX</v>
      </c>
      <c r="AC25" s="34" t="s">
        <v>81</v>
      </c>
      <c r="AD25" s="25" t="str">
        <f>IF(B20&lt;&gt;"",IF(B30&lt;&gt;"",IF(B34&lt;&gt;"",B34+C28+MAX(I29,I33)-1,""),""),"")</f>
        <v/>
      </c>
      <c r="AE25" s="83" t="str">
        <f>TEXT(AD25,"jjjj")</f>
        <v/>
      </c>
      <c r="AF25" s="34" t="s">
        <v>81</v>
      </c>
      <c r="AG25" s="25" t="e">
        <f ca="1">J27+C28-1</f>
        <v>#VALUE!</v>
      </c>
      <c r="AH25" s="83" t="e">
        <f ca="1">TEXT(AG25,"jjjj")</f>
        <v>#VALUE!</v>
      </c>
    </row>
    <row r="26" spans="1:109" ht="15" customHeight="1">
      <c r="B26" s="345" t="s">
        <v>1057</v>
      </c>
      <c r="C26" s="352"/>
      <c r="D26" s="346"/>
      <c r="I26" s="198" t="s">
        <v>1011</v>
      </c>
      <c r="J26" s="198" t="s">
        <v>1012</v>
      </c>
      <c r="L26" s="131" t="s">
        <v>1010</v>
      </c>
      <c r="M26" s="31">
        <v>60</v>
      </c>
      <c r="N26" s="132"/>
      <c r="P26" s="1" t="s">
        <v>66</v>
      </c>
      <c r="Q26" s="182" t="s">
        <v>24</v>
      </c>
      <c r="R26" s="22" t="s">
        <v>25</v>
      </c>
      <c r="S26" s="22" t="s">
        <v>26</v>
      </c>
      <c r="T26" s="182" t="s">
        <v>24</v>
      </c>
      <c r="U26" s="22" t="s">
        <v>25</v>
      </c>
      <c r="V26" s="22" t="s">
        <v>26</v>
      </c>
      <c r="W26" s="182" t="s">
        <v>24</v>
      </c>
      <c r="X26" s="22" t="s">
        <v>25</v>
      </c>
      <c r="Y26" s="22" t="s">
        <v>26</v>
      </c>
      <c r="Z26" s="85" t="s">
        <v>24</v>
      </c>
      <c r="AA26" s="85" t="s">
        <v>25</v>
      </c>
      <c r="AB26" s="85" t="s">
        <v>26</v>
      </c>
      <c r="AC26" s="85" t="s">
        <v>24</v>
      </c>
      <c r="AD26" s="85" t="s">
        <v>25</v>
      </c>
      <c r="AE26" s="85" t="s">
        <v>26</v>
      </c>
      <c r="AF26" s="85" t="s">
        <v>24</v>
      </c>
      <c r="AG26" s="85" t="s">
        <v>25</v>
      </c>
      <c r="AH26" s="85" t="s">
        <v>26</v>
      </c>
    </row>
    <row r="27" spans="1:109" ht="15" customHeight="1">
      <c r="A27" s="37"/>
      <c r="B27" s="35" t="s">
        <v>1052</v>
      </c>
      <c r="C27" s="35" t="s">
        <v>1053</v>
      </c>
      <c r="D27" s="35" t="s">
        <v>61</v>
      </c>
      <c r="E27" s="161" t="str">
        <f>IF(OR(L83=2,L83=3,L83=6),"Prolongation","")</f>
        <v>Prolongation</v>
      </c>
      <c r="F27" s="161" t="str">
        <f>IF(AND(L79=1,L83=5),"Incohérence",IF(L79=1,"Rapport",""))</f>
        <v>Rapport</v>
      </c>
      <c r="G27" s="35" t="s">
        <v>30</v>
      </c>
      <c r="I27" s="17" t="str">
        <f>IF(B20&lt;&gt;"",DATE(YEAR(J27),7,16),"")</f>
        <v/>
      </c>
      <c r="J27" s="25" t="str">
        <f ca="1">IF(G20&lt;&gt;"",IF(AND(E40&lt;&gt;"",B34=""),E40+M18+M19,IF(B34&lt;&gt;"",B34,B30)),"")</f>
        <v/>
      </c>
      <c r="K27" s="25" t="str">
        <f ca="1">IF(OR(AND(I29&lt;&gt;0,I29&lt;&gt;31),AND(I29=31,B30=I27)),I28+1,J27)</f>
        <v/>
      </c>
      <c r="L27" s="339" t="s">
        <v>1089</v>
      </c>
      <c r="M27" s="340">
        <v>20</v>
      </c>
      <c r="N27" s="341"/>
      <c r="P27" s="26">
        <v>37257</v>
      </c>
      <c r="Q27" s="203" t="e">
        <f ca="1">DATE(YEAR(R25),1,1)</f>
        <v>#VALUE!</v>
      </c>
      <c r="R27" s="63" t="e">
        <f ca="1">DATE(YEAR(R25+1),1,1)</f>
        <v>#VALUE!</v>
      </c>
      <c r="S27" s="63" t="e">
        <f ca="1">DATE(YEAR(R25+2),1,1)</f>
        <v>#VALUE!</v>
      </c>
      <c r="T27" s="203" t="e">
        <f ca="1">DATE(YEAR(U25),1,1)</f>
        <v>#VALUE!</v>
      </c>
      <c r="U27" s="63" t="e">
        <f ca="1">DATE(YEAR(U25+1),1,1)</f>
        <v>#VALUE!</v>
      </c>
      <c r="V27" s="63" t="e">
        <f ca="1">DATE(YEAR(U25+2),1,1)</f>
        <v>#VALUE!</v>
      </c>
      <c r="W27" s="203" t="e">
        <f ca="1">DATE(YEAR(X25),1,1)</f>
        <v>#VALUE!</v>
      </c>
      <c r="X27" s="63" t="e">
        <f ca="1">DATE(YEAR(X25+1),1,1)</f>
        <v>#VALUE!</v>
      </c>
      <c r="Y27" s="63" t="e">
        <f ca="1">DATE(YEAR(X25+2),1,1)</f>
        <v>#VALUE!</v>
      </c>
      <c r="Z27" s="89">
        <f>DATE(YEAR(AA25),1,1)</f>
        <v>1</v>
      </c>
      <c r="AA27" s="82">
        <f>DATE(YEAR(AA25+1),1,1)</f>
        <v>1</v>
      </c>
      <c r="AB27" s="90">
        <f>DATE(YEAR(AA25+2),1,1)</f>
        <v>1</v>
      </c>
      <c r="AC27" s="89" t="e">
        <f>DATE(YEAR(AD25),1,1)</f>
        <v>#VALUE!</v>
      </c>
      <c r="AD27" s="82" t="e">
        <f>DATE(YEAR(AD25+1),1,1)</f>
        <v>#VALUE!</v>
      </c>
      <c r="AE27" s="90" t="e">
        <f>DATE(YEAR(AD25+2),1,1)</f>
        <v>#VALUE!</v>
      </c>
      <c r="AF27" s="89" t="e">
        <f ca="1">DATE(YEAR(AG25),1,1)</f>
        <v>#VALUE!</v>
      </c>
      <c r="AG27" s="82" t="e">
        <f ca="1">DATE(YEAR(AG25+1),1,1)</f>
        <v>#VALUE!</v>
      </c>
      <c r="AH27" s="90" t="e">
        <f ca="1">DATE(YEAR(AG25+2),1,1)</f>
        <v>#VALUE!</v>
      </c>
    </row>
    <row r="28" spans="1:109" ht="15" customHeight="1">
      <c r="A28" s="37" t="s">
        <v>34</v>
      </c>
      <c r="B28" s="41" t="str">
        <f>IF(B20&lt;&gt;"",IF(OR(L83=3,L83=5,L83=6),M18+M19,""),"")</f>
        <v/>
      </c>
      <c r="C28" s="41" t="str">
        <f>IF(B20&lt;&gt;"",IF(OR(L83=3,L83=5,L83=6),IF(OR(L75=1,L76=TRUE),M16,M17),""),"")</f>
        <v/>
      </c>
      <c r="D28" s="41" t="str">
        <f>IF(B20&lt;&gt;"",IF(OR(L83=3,L83=5,L83=6),M20,""),"")</f>
        <v/>
      </c>
      <c r="E28" s="259"/>
      <c r="F28" s="41" t="str">
        <f ca="1">IF(L79=1,IF(G20&lt;&gt;"",IF(OR(L83=2,L83=3,L83=5,L83=6),IF(OR(L75=1,L76=TRUE,L83=5,L83=6),M9+IF(AND(B47&lt;&gt;"",L71=TRUE),B47,0),M8+IF(AND(B47&lt;&gt;"",L71=TRUE),B47,0)+IF(L76=TRUE,M16-M16,0)+IF(OR(L74=TRUE,ArtD68!J24=0),IF(AND(ArtD68!B24&lt;&gt;"",ArtD68!B24&lt;&gt;"Sans"),ArtD68!B24,0),0))+IF(E30&gt;=E33,E28,0),M29)+IF(AND(L75=2,L83=6,ArtD68!B24&lt;&gt;"",ArtD68!B24&lt;&gt;"Sans"),ArtD68!B24,0)+Z67+J2,""),"")</f>
        <v/>
      </c>
      <c r="G28" s="41" t="str">
        <f ca="1">IF(AND(L78=1,OR(L83=2,L83=3,L83=5,L83=6)),IF(OR(L75=1,L76=TRUE,L83=5,L83=6),M13+AC67,M11+AC67),IF(G20&lt;&gt;"",IF(OR(L83=2,L83=3,L83=5,L83=6),IF(OR(L75=1,L76=TRUE,L83=6),M12+IF(AND(B47&lt;&gt;"",L71=TRUE),B47,0),IF(L83=5,M38,M10+IF(AND(B47&lt;&gt;"",L71=TRUE),B47,0))+IF(L76=TRUE,M16-M16,0)+IF(OR(L74=TRUE,ArtD68!J24=0),IF(AND(ArtD68!B24&lt;&gt;"",ArtD68!B24&lt;&gt;"Sans"),ArtD68!B24,0),0))+IF(L79=1,IF(E30&gt;=E33,E28,0),IF(E30&gt;=E33,E28,0)),M30)+IF(AND(L75=2,L83=6,ArtD68!B24&lt;&gt;"",ArtD68!B24&lt;&gt;"Sans"),ArtD68!B24,0)+AC67+J2,""))</f>
        <v/>
      </c>
      <c r="I28" s="17" t="str">
        <f>IF(B20&lt;&gt;"",I27+30,"")</f>
        <v/>
      </c>
      <c r="J28" s="25" t="str">
        <f ca="1">IF(B30&lt;&gt;"",AG25+AF42,"")</f>
        <v/>
      </c>
      <c r="L28" s="133" t="s">
        <v>59</v>
      </c>
      <c r="M28" s="60">
        <v>20</v>
      </c>
      <c r="N28" s="134" t="s">
        <v>60</v>
      </c>
      <c r="P28" s="26">
        <v>37377</v>
      </c>
      <c r="Q28" s="203" t="e">
        <f ca="1">DATE(YEAR(R25),5,1)</f>
        <v>#VALUE!</v>
      </c>
      <c r="R28" s="63" t="e">
        <f ca="1">DATE(YEAR(R25+1),5,1)</f>
        <v>#VALUE!</v>
      </c>
      <c r="S28" s="63" t="e">
        <f ca="1">DATE(YEAR(R25+2),5,1)</f>
        <v>#VALUE!</v>
      </c>
      <c r="T28" s="203" t="e">
        <f ca="1">DATE(YEAR(U25),5,1)</f>
        <v>#VALUE!</v>
      </c>
      <c r="U28" s="63" t="e">
        <f ca="1">DATE(YEAR(U25+1),5,1)</f>
        <v>#VALUE!</v>
      </c>
      <c r="V28" s="63" t="e">
        <f ca="1">DATE(YEAR(U25+2),5,1)</f>
        <v>#VALUE!</v>
      </c>
      <c r="W28" s="203" t="e">
        <f ca="1">DATE(YEAR(X25),5,1)</f>
        <v>#VALUE!</v>
      </c>
      <c r="X28" s="63" t="e">
        <f ca="1">DATE(YEAR(X25+1),5,1)</f>
        <v>#VALUE!</v>
      </c>
      <c r="Y28" s="63" t="e">
        <f ca="1">DATE(YEAR(X25+2),5,1)</f>
        <v>#VALUE!</v>
      </c>
      <c r="Z28" s="89">
        <f>DATE(YEAR(AA25),5,1)</f>
        <v>122</v>
      </c>
      <c r="AA28" s="82">
        <f>DATE(YEAR(AA25+1),5,1)</f>
        <v>122</v>
      </c>
      <c r="AB28" s="90">
        <f>DATE(YEAR(AA25+2),5,1)</f>
        <v>122</v>
      </c>
      <c r="AC28" s="89" t="e">
        <f>DATE(YEAR(AD25),5,1)</f>
        <v>#VALUE!</v>
      </c>
      <c r="AD28" s="82" t="e">
        <f>DATE(YEAR(AD25+1),5,1)</f>
        <v>#VALUE!</v>
      </c>
      <c r="AE28" s="90" t="e">
        <f>DATE(YEAR(AD25+2),5,1)</f>
        <v>#VALUE!</v>
      </c>
      <c r="AF28" s="89" t="e">
        <f ca="1">DATE(YEAR(AG25),5,1)</f>
        <v>#VALUE!</v>
      </c>
      <c r="AG28" s="82" t="e">
        <f ca="1">DATE(YEAR(AG25+1),5,1)</f>
        <v>#VALUE!</v>
      </c>
      <c r="AH28" s="90" t="e">
        <f ca="1">DATE(YEAR(AG25+2),5,1)</f>
        <v>#VALUE!</v>
      </c>
    </row>
    <row r="29" spans="1:109" ht="15" customHeight="1">
      <c r="A29" s="37" t="s">
        <v>37</v>
      </c>
      <c r="B29" s="43" t="str">
        <f>IF(OR(L83=3,L83=5,L83=6),IF(B34&lt;&gt;"",B34-IF(E40&lt;&gt;"",E40,G20),""),"")</f>
        <v/>
      </c>
      <c r="C29" s="43" t="str">
        <f>IF(OR(L83=3,L83=5,L83=6),IF(AND(B34&lt;&gt;"",C34&lt;&gt;""),C34-B34+1-AC42-MAX(I29,I33),""),"")</f>
        <v/>
      </c>
      <c r="D29" s="43" t="str">
        <f>IF(B20&lt;&gt;"",IF(D33&lt;&gt;"",D33-C34,""),"")</f>
        <v/>
      </c>
      <c r="E29" s="62"/>
      <c r="F29" s="43" t="str">
        <f>IF(L79=1,IF(B20&lt;&gt;"",IF(F33&lt;&gt;"",F33-G20,""),""),"")</f>
        <v/>
      </c>
      <c r="G29" s="43" t="str">
        <f>IF(B20&lt;&gt;"",IF(G33&lt;&gt;"",IF(AND(F34&lt;&gt;"",L79=1,L78=1,L83&lt;&gt;1,L83&lt;&gt;4),G33-F34,G33-G20),""),"")</f>
        <v/>
      </c>
      <c r="I29" s="64">
        <f>IF(B20&lt;&gt;"",IF(B30&lt;&gt;"",IF(AND(J27&lt;=I27,J28&gt;=I27),31,IF(AND(J27&gt;=I27,J28&lt;=I28),I28-J27+1,IF(AND(J27&gt;I27,J27&lt;=I28,J28&gt;=I28),I28-J27+1,0))),0),0)</f>
        <v>0</v>
      </c>
      <c r="J29" s="25" t="str">
        <f>IF(B20&lt;&gt;"",IF(B34&lt;&gt;"",AD25+AC42,IF(B30&lt;&gt;"",AA25+Z42,"")),"")</f>
        <v/>
      </c>
      <c r="K29" s="322">
        <f>IF(B20&lt;&gt;"",IF(B30&lt;&gt;"",IF(AND(B30&lt;=I27,J28&gt;=I27),31,IF(AND(B30&gt;=I27,J28&lt;=I28),I28-B30+1,IF(AND(B30&gt;I27,B30&lt;=I28,J28&gt;=I28),I28-B30+1,0))),0),0)</f>
        <v>0</v>
      </c>
      <c r="L29" s="133" t="s">
        <v>11</v>
      </c>
      <c r="M29" s="60">
        <v>30</v>
      </c>
      <c r="N29" s="134" t="s">
        <v>60</v>
      </c>
      <c r="P29" s="26">
        <v>37458</v>
      </c>
      <c r="Q29" s="203" t="e">
        <f ca="1">DATE(YEAR(R25),7,21)</f>
        <v>#VALUE!</v>
      </c>
      <c r="R29" s="63" t="e">
        <f ca="1">DATE(YEAR(R25+1),7,21)</f>
        <v>#VALUE!</v>
      </c>
      <c r="S29" s="63" t="e">
        <f ca="1">DATE(YEAR(R25+2),7,21)</f>
        <v>#VALUE!</v>
      </c>
      <c r="T29" s="203" t="e">
        <f ca="1">DATE(YEAR(U25),7,21)</f>
        <v>#VALUE!</v>
      </c>
      <c r="U29" s="63" t="e">
        <f ca="1">DATE(YEAR(U25+1),7,21)</f>
        <v>#VALUE!</v>
      </c>
      <c r="V29" s="63" t="e">
        <f ca="1">DATE(YEAR(U25+2),7,21)</f>
        <v>#VALUE!</v>
      </c>
      <c r="W29" s="203" t="e">
        <f ca="1">DATE(YEAR(X25),7,21)</f>
        <v>#VALUE!</v>
      </c>
      <c r="X29" s="63" t="e">
        <f ca="1">DATE(YEAR(X25+1),7,21)</f>
        <v>#VALUE!</v>
      </c>
      <c r="Y29" s="63" t="e">
        <f ca="1">DATE(YEAR(X25+2),7,21)</f>
        <v>#VALUE!</v>
      </c>
      <c r="Z29" s="89">
        <f>DATE(YEAR(AA25),7,21)</f>
        <v>203</v>
      </c>
      <c r="AA29" s="82">
        <f>DATE(YEAR(AA25+1),7,21)</f>
        <v>203</v>
      </c>
      <c r="AB29" s="90">
        <f>DATE(YEAR(AA25+2),7,21)</f>
        <v>203</v>
      </c>
      <c r="AC29" s="89" t="e">
        <f>DATE(YEAR(AD25),7,21)</f>
        <v>#VALUE!</v>
      </c>
      <c r="AD29" s="82" t="e">
        <f>DATE(YEAR(AD25+1),7,21)</f>
        <v>#VALUE!</v>
      </c>
      <c r="AE29" s="90" t="e">
        <f>DATE(YEAR(AD25+2),7,21)</f>
        <v>#VALUE!</v>
      </c>
      <c r="AF29" s="89" t="e">
        <f ca="1">DATE(YEAR(AG25),7,21)</f>
        <v>#VALUE!</v>
      </c>
      <c r="AG29" s="82" t="e">
        <f ca="1">DATE(YEAR(AG25+1),7,21)</f>
        <v>#VALUE!</v>
      </c>
      <c r="AH29" s="90" t="e">
        <f ca="1">DATE(YEAR(AG25+2),7,21)</f>
        <v>#VALUE!</v>
      </c>
    </row>
    <row r="30" spans="1:109" ht="15" customHeight="1">
      <c r="A30" s="44" t="s">
        <v>1050</v>
      </c>
      <c r="B30" s="46" t="str">
        <f ca="1">IF(G20&lt;&gt;"",IF(OR(L83=3,L83=5,L83=6),IF(B35&lt;&gt;"",B35+M19,IF(F40&lt;&gt;"",F40+B28,IF(E40&lt;&gt;"",E40+B28,G20+B28))),""),"")</f>
        <v/>
      </c>
      <c r="C30" s="46" t="str">
        <f ca="1">IF(OR(L83=3,L83=5,L83=6),IF(B30&lt;&gt;"",AA25+Z42,""),"")</f>
        <v/>
      </c>
      <c r="D30" s="46" t="str">
        <f ca="1">IF(B30&lt;&gt;"",IF(OR(L83=3,L83=5,L83=6),IF(C34&lt;&gt;"",C34+D28,C30+D28),""),"")</f>
        <v/>
      </c>
      <c r="E30" s="146" t="str">
        <f ca="1">IF(OR(L83=2,L83=3,L83=5,L83=6),IF(X25&lt;&gt;"",X25+W42,""),"")</f>
        <v/>
      </c>
      <c r="F30" s="46" t="str">
        <f ca="1">IF(L79=1,L43,"")</f>
        <v/>
      </c>
      <c r="G30" s="46" t="str">
        <f ca="1">IF(G20&lt;&gt;"",IF(AND(L78=1,OR(L83=2,L83=3,L83=6)),IF(F34&lt;&gt;"",F34+G28,""),AD50+AC67),"")</f>
        <v/>
      </c>
      <c r="I30" s="1"/>
      <c r="J30" s="198" t="s">
        <v>1013</v>
      </c>
      <c r="L30" s="133" t="s">
        <v>64</v>
      </c>
      <c r="M30" s="60">
        <v>40</v>
      </c>
      <c r="N30" s="134" t="s">
        <v>60</v>
      </c>
      <c r="P30" s="26">
        <v>37483</v>
      </c>
      <c r="Q30" s="203" t="e">
        <f ca="1">DATE(YEAR(R25),8,15)</f>
        <v>#VALUE!</v>
      </c>
      <c r="R30" s="63" t="e">
        <f ca="1">DATE(YEAR(R25+1),8,15)</f>
        <v>#VALUE!</v>
      </c>
      <c r="S30" s="63" t="e">
        <f ca="1">DATE(YEAR(R25+2),8,15)</f>
        <v>#VALUE!</v>
      </c>
      <c r="T30" s="203" t="e">
        <f ca="1">DATE(YEAR(U25),8,15)</f>
        <v>#VALUE!</v>
      </c>
      <c r="U30" s="63" t="e">
        <f ca="1">DATE(YEAR(U25+1),8,15)</f>
        <v>#VALUE!</v>
      </c>
      <c r="V30" s="63" t="e">
        <f ca="1">DATE(YEAR(U25+2),8,15)</f>
        <v>#VALUE!</v>
      </c>
      <c r="W30" s="203" t="e">
        <f ca="1">DATE(YEAR(X25),8,15)</f>
        <v>#VALUE!</v>
      </c>
      <c r="X30" s="63" t="e">
        <f ca="1">DATE(YEAR(X25+1),8,15)</f>
        <v>#VALUE!</v>
      </c>
      <c r="Y30" s="63" t="e">
        <f ca="1">DATE(YEAR(X25+2),8,15)</f>
        <v>#VALUE!</v>
      </c>
      <c r="Z30" s="89">
        <f>DATE(YEAR(AA25),8,15)</f>
        <v>228</v>
      </c>
      <c r="AA30" s="82">
        <f>DATE(YEAR(AA25+1),8,15)</f>
        <v>228</v>
      </c>
      <c r="AB30" s="90">
        <f>DATE(YEAR(AA25+2),8,15)</f>
        <v>228</v>
      </c>
      <c r="AC30" s="89" t="e">
        <f>DATE(YEAR(AD25),8,15)</f>
        <v>#VALUE!</v>
      </c>
      <c r="AD30" s="82" t="e">
        <f>DATE(YEAR(AD25+1),8,15)</f>
        <v>#VALUE!</v>
      </c>
      <c r="AE30" s="90" t="e">
        <f>DATE(YEAR(AD25+2),8,15)</f>
        <v>#VALUE!</v>
      </c>
      <c r="AF30" s="89" t="e">
        <f ca="1">DATE(YEAR(AG25),8,15)</f>
        <v>#VALUE!</v>
      </c>
      <c r="AG30" s="82" t="e">
        <f ca="1">DATE(YEAR(AG25+1),8,15)</f>
        <v>#VALUE!</v>
      </c>
      <c r="AH30" s="90" t="e">
        <f ca="1">DATE(YEAR(AG25+2),8,15)</f>
        <v>#VALUE!</v>
      </c>
    </row>
    <row r="31" spans="1:109" ht="15" customHeight="1">
      <c r="A31" s="37" t="s">
        <v>44</v>
      </c>
      <c r="B31" s="50" t="str">
        <f ca="1">IF(G20&lt;&gt;"",IF(OR(L83=3,L83=5,L83=6),IF(B34="",B30,IF(I33&lt;&gt;0,K31,IF(I29&lt;&gt;0,K27,B34))),""),"")</f>
        <v/>
      </c>
      <c r="C31" s="50" t="str">
        <f ca="1">IF(OR(L83=3,L83=5,L83=6),IF(C34&lt;&gt;"",C34,IF(G20&lt;&gt;"",J29,"")),"")</f>
        <v/>
      </c>
      <c r="D31" s="50" t="str">
        <f ca="1">IF(B31&lt;&gt;"",IF(G20&lt;&gt;"",IF(D33&lt;&gt;"",D33,IF(C34&lt;&gt;"",C34+D28,C31+D28)),""),"")</f>
        <v/>
      </c>
      <c r="E31" s="150"/>
      <c r="F31" s="50" t="str">
        <f ca="1">IF(L79=1,IF(F33&lt;&gt;"",IF(F33&gt;L43,L43,F33),L43),"")</f>
        <v/>
      </c>
      <c r="G31" s="50" t="str">
        <f ca="1">IF(G33&lt;&gt;"",G33,G30)</f>
        <v/>
      </c>
      <c r="I31" s="17" t="str">
        <f>IF(B20&lt;&gt;"",IF(B34&lt;&gt;"",DATE(YEAR(B34),12,24),IF(B30&lt;&gt;"",DATE(YEAR(B30-1),12,24),"")),"")</f>
        <v/>
      </c>
      <c r="J31" s="25" t="str">
        <f>IF(B20&lt;&gt;"",IF(OR(L83=3,L83=6),IF(AND(J27&gt;=I31,J27&lt;=I32),I32+1,IF(B34&lt;&gt;"",B34,B30)),""),"")</f>
        <v/>
      </c>
      <c r="K31" s="25" t="str">
        <f ca="1">IF(OR(AND(I33&lt;&gt;0,I33&lt;&gt;9), AND(I33=9,B30=I32)),I32+1,J31)</f>
        <v/>
      </c>
      <c r="L31" s="209" t="s">
        <v>1018</v>
      </c>
      <c r="M31" s="210">
        <v>10</v>
      </c>
      <c r="N31" s="211" t="s">
        <v>1017</v>
      </c>
      <c r="O31" s="8"/>
      <c r="P31" s="26">
        <v>37561</v>
      </c>
      <c r="Q31" s="203" t="e">
        <f ca="1">DATE(YEAR(R25),11,1)</f>
        <v>#VALUE!</v>
      </c>
      <c r="R31" s="63" t="e">
        <f ca="1">DATE(YEAR(R25+1),11,1)</f>
        <v>#VALUE!</v>
      </c>
      <c r="S31" s="63" t="e">
        <f ca="1">DATE(YEAR(R25+2),11,1)</f>
        <v>#VALUE!</v>
      </c>
      <c r="T31" s="203" t="e">
        <f ca="1">DATE(YEAR(U25),11,1)</f>
        <v>#VALUE!</v>
      </c>
      <c r="U31" s="63" t="e">
        <f ca="1">DATE(YEAR(U25+1),11,1)</f>
        <v>#VALUE!</v>
      </c>
      <c r="V31" s="63" t="e">
        <f ca="1">DATE(YEAR(U25+2),11,1)</f>
        <v>#VALUE!</v>
      </c>
      <c r="W31" s="203" t="e">
        <f ca="1">DATE(YEAR(X25),11,1)</f>
        <v>#VALUE!</v>
      </c>
      <c r="X31" s="63" t="e">
        <f ca="1">DATE(YEAR(X25+1),11,1)</f>
        <v>#VALUE!</v>
      </c>
      <c r="Y31" s="63" t="e">
        <f ca="1">DATE(YEAR(X25+2),11,1)</f>
        <v>#VALUE!</v>
      </c>
      <c r="Z31" s="89">
        <f>DATE(YEAR(AA25),11,1)</f>
        <v>306</v>
      </c>
      <c r="AA31" s="82">
        <f>DATE(YEAR(AA25+1),11,1)</f>
        <v>306</v>
      </c>
      <c r="AB31" s="90">
        <f>DATE(YEAR(AA25+2),11,1)</f>
        <v>306</v>
      </c>
      <c r="AC31" s="89" t="e">
        <f>DATE(YEAR(AD25),11,1)</f>
        <v>#VALUE!</v>
      </c>
      <c r="AD31" s="82" t="e">
        <f>DATE(YEAR(AD25+1),11,1)</f>
        <v>#VALUE!</v>
      </c>
      <c r="AE31" s="90" t="e">
        <f>DATE(YEAR(AD25+2),11,1)</f>
        <v>#VALUE!</v>
      </c>
      <c r="AF31" s="89" t="e">
        <f ca="1">DATE(YEAR(AG25),11,1)</f>
        <v>#VALUE!</v>
      </c>
      <c r="AG31" s="82" t="e">
        <f ca="1">DATE(YEAR(AG25+1),11,1)</f>
        <v>#VALUE!</v>
      </c>
      <c r="AH31" s="90" t="e">
        <f ca="1">DATE(YEAR(AG25+2),11,1)</f>
        <v>#VALUE!</v>
      </c>
    </row>
    <row r="32" spans="1:109" ht="15" customHeight="1">
      <c r="A32" s="4" t="s">
        <v>47</v>
      </c>
      <c r="B32" s="50" t="str">
        <f ca="1">IF(B31&lt;&gt;"",TEXT(B31,"jjjj"),"")</f>
        <v/>
      </c>
      <c r="C32" s="50" t="str">
        <f ca="1">IF(C31&lt;&gt;"",TEXT(C31,"jjjj"),"")</f>
        <v/>
      </c>
      <c r="D32" s="50" t="str">
        <f ca="1">IF(D31&lt;&gt;"",TEXT(D31,"jjjj"),"")</f>
        <v/>
      </c>
      <c r="E32" s="64" t="str">
        <f>IF(E28&lt;&gt;0,TEXT(E30,"jjjj"),"")</f>
        <v/>
      </c>
      <c r="F32" s="50" t="str">
        <f ca="1">IF(F31&lt;&gt;"",TEXT(F31,"jjjj"),"")</f>
        <v/>
      </c>
      <c r="G32" s="50" t="str">
        <f ca="1">IF(G31&lt;&gt;"",TEXT(G31,"jjjj"),"")</f>
        <v/>
      </c>
      <c r="I32" s="17" t="str">
        <f>IF(B20&lt;&gt;"",IF(B30&lt;&gt;"",I31+8,""),"")</f>
        <v/>
      </c>
      <c r="J32" s="199"/>
      <c r="L32" s="209" t="s">
        <v>1019</v>
      </c>
      <c r="M32" s="210">
        <v>30</v>
      </c>
      <c r="N32" s="211" t="s">
        <v>1017</v>
      </c>
      <c r="O32" s="65"/>
      <c r="P32" s="26">
        <v>37571</v>
      </c>
      <c r="Q32" s="203" t="e">
        <f ca="1">DATE(YEAR(R25),11,11)</f>
        <v>#VALUE!</v>
      </c>
      <c r="R32" s="63" t="e">
        <f ca="1">DATE(YEAR(R25+1),11,11)</f>
        <v>#VALUE!</v>
      </c>
      <c r="S32" s="63" t="e">
        <f ca="1">DATE(YEAR(R25+2),11,11)</f>
        <v>#VALUE!</v>
      </c>
      <c r="T32" s="203" t="e">
        <f ca="1">DATE(YEAR(U25),11,11)</f>
        <v>#VALUE!</v>
      </c>
      <c r="U32" s="63" t="e">
        <f ca="1">DATE(YEAR(U25+1),11,11)</f>
        <v>#VALUE!</v>
      </c>
      <c r="V32" s="63" t="e">
        <f ca="1">DATE(YEAR(U25+2),11,11)</f>
        <v>#VALUE!</v>
      </c>
      <c r="W32" s="203" t="e">
        <f ca="1">DATE(YEAR(X25),11,11)</f>
        <v>#VALUE!</v>
      </c>
      <c r="X32" s="63" t="e">
        <f ca="1">DATE(YEAR(X25+1),11,11)</f>
        <v>#VALUE!</v>
      </c>
      <c r="Y32" s="63" t="e">
        <f ca="1">DATE(YEAR(X25+2),11,11)</f>
        <v>#VALUE!</v>
      </c>
      <c r="Z32" s="89">
        <f>DATE(YEAR(AA25),11,11)</f>
        <v>316</v>
      </c>
      <c r="AA32" s="82">
        <f>DATE(YEAR(AA25+1),11,11)</f>
        <v>316</v>
      </c>
      <c r="AB32" s="90">
        <f>DATE(YEAR(AA25+2),11,11)</f>
        <v>316</v>
      </c>
      <c r="AC32" s="89" t="e">
        <f>DATE(YEAR(AD25),11,11)</f>
        <v>#VALUE!</v>
      </c>
      <c r="AD32" s="82" t="e">
        <f>DATE(YEAR(AD25+1),11,11)</f>
        <v>#VALUE!</v>
      </c>
      <c r="AE32" s="90" t="e">
        <f>DATE(YEAR(AD25+2),11,11)</f>
        <v>#VALUE!</v>
      </c>
      <c r="AF32" s="89" t="e">
        <f ca="1">DATE(YEAR(AG25),11,11)</f>
        <v>#VALUE!</v>
      </c>
      <c r="AG32" s="82" t="e">
        <f ca="1">DATE(YEAR(AG25+1),11,11)</f>
        <v>#VALUE!</v>
      </c>
      <c r="AH32" s="90" t="e">
        <f ca="1">DATE(YEAR(AG25+2),11,11)</f>
        <v>#VALUE!</v>
      </c>
    </row>
    <row r="33" spans="1:34" ht="15" customHeight="1">
      <c r="A33" s="37" t="s">
        <v>50</v>
      </c>
      <c r="B33" s="320" t="s">
        <v>1065</v>
      </c>
      <c r="C33" s="320" t="s">
        <v>1066</v>
      </c>
      <c r="D33" s="56"/>
      <c r="E33" s="178"/>
      <c r="F33" s="56"/>
      <c r="G33" s="56"/>
      <c r="I33" s="64">
        <f>IF(B20&lt;&gt;"",IF(B30&lt;&gt;"",IF(AND(J27&lt;=I31,J28&gt;=I31),9,IF(AND(J27&gt;=I31,J28&lt;=I32),I32-J27+1,IF(AND(J27&gt;I31,J27&lt;=I32,J28&gt;=I32),I32-J27+1,0))),0),0)</f>
        <v>0</v>
      </c>
      <c r="J33" s="25"/>
      <c r="K33" s="322">
        <f>IF(B20&lt;&gt;"",IF(B30&lt;&gt;"",IF(AND(B30&lt;=I31,J28&gt;=I31),9,IF(AND(B30&gt;=I31,J28&lt;=I32),I32-B30+1,IF(AND(B30&gt;I31,B30&lt;=I32,J28&gt;=I32),I32-B30+1,0))),0),0)</f>
        <v>0</v>
      </c>
      <c r="L33" s="312" t="s">
        <v>6</v>
      </c>
      <c r="M33" s="313">
        <v>30</v>
      </c>
      <c r="N33" s="314" t="s">
        <v>1060</v>
      </c>
      <c r="O33" s="67"/>
      <c r="P33" s="26">
        <v>37615</v>
      </c>
      <c r="Q33" s="203" t="e">
        <f ca="1">DATE(YEAR(R25),12,25)</f>
        <v>#VALUE!</v>
      </c>
      <c r="R33" s="63" t="e">
        <f ca="1">DATE(YEAR(R25+1),12,25)</f>
        <v>#VALUE!</v>
      </c>
      <c r="S33" s="63" t="e">
        <f ca="1">DATE(YEAR(R25+2),12,25)</f>
        <v>#VALUE!</v>
      </c>
      <c r="T33" s="183" t="e">
        <f ca="1">DATE(YEAR(U25),12,25)</f>
        <v>#VALUE!</v>
      </c>
      <c r="U33" s="63" t="e">
        <f ca="1">DATE(YEAR(U25+1),12,25)</f>
        <v>#VALUE!</v>
      </c>
      <c r="V33" s="63" t="e">
        <f ca="1">DATE(YEAR(U25+2),12,25)</f>
        <v>#VALUE!</v>
      </c>
      <c r="W33" s="203" t="e">
        <f ca="1">DATE(YEAR(X25),12,25)</f>
        <v>#VALUE!</v>
      </c>
      <c r="X33" s="63" t="e">
        <f ca="1">DATE(YEAR(X25+1),12,25)</f>
        <v>#VALUE!</v>
      </c>
      <c r="Y33" s="63" t="e">
        <f ca="1">DATE(YEAR(X25+2),12,25)</f>
        <v>#VALUE!</v>
      </c>
      <c r="Z33" s="89">
        <f>DATE(YEAR(AA25),12,25)</f>
        <v>360</v>
      </c>
      <c r="AA33" s="82">
        <f>DATE(YEAR(AA25+1),12,25)</f>
        <v>360</v>
      </c>
      <c r="AB33" s="90">
        <f>DATE(YEAR(AA25+2),12,25)</f>
        <v>360</v>
      </c>
      <c r="AC33" s="89" t="e">
        <f>DATE(YEAR(AD25),12,25)</f>
        <v>#VALUE!</v>
      </c>
      <c r="AD33" s="82" t="e">
        <f>DATE(YEAR(AD25+1),12,25)</f>
        <v>#VALUE!</v>
      </c>
      <c r="AE33" s="90" t="e">
        <f>DATE(YEAR(AD25+2),12,25)</f>
        <v>#VALUE!</v>
      </c>
      <c r="AF33" s="89" t="e">
        <f ca="1">DATE(YEAR(AG25),12,25)</f>
        <v>#VALUE!</v>
      </c>
      <c r="AG33" s="82" t="e">
        <f ca="1">DATE(YEAR(AG25+1),12,25)</f>
        <v>#VALUE!</v>
      </c>
      <c r="AH33" s="90" t="e">
        <f ca="1">DATE(YEAR(AG25+2),12,25)</f>
        <v>#VALUE!</v>
      </c>
    </row>
    <row r="34" spans="1:34" ht="15" customHeight="1">
      <c r="A34" s="319" t="s">
        <v>1051</v>
      </c>
      <c r="B34" s="56"/>
      <c r="C34" s="56"/>
      <c r="E34" s="179" t="str">
        <f>IF(AND(L78=1,OR(L83=2,L83=3,L83=5,L83=6)),"Reçu CBE le ","")</f>
        <v/>
      </c>
      <c r="F34" s="145"/>
      <c r="I34" s="147"/>
      <c r="J34" s="29"/>
      <c r="L34" s="315" t="s">
        <v>9</v>
      </c>
      <c r="M34" s="313">
        <v>30</v>
      </c>
      <c r="N34" s="314" t="s">
        <v>1060</v>
      </c>
      <c r="O34" s="8"/>
      <c r="P34" s="47" t="s">
        <v>43</v>
      </c>
      <c r="Q34" s="184" t="e">
        <f ca="1">IF(R25&lt;&gt;Q27,IF(R25&lt;&gt;Q28,IF(R25&lt;&gt;Q29,IF(R25&lt;&gt;Q30,IF(R25&lt;&gt;Q31,IF(R25&lt;&gt;Q32,IF(R25&lt;&gt;Q33,0,1),1),1),1),1),1),1)</f>
        <v>#VALUE!</v>
      </c>
      <c r="R34" s="48" t="e">
        <f ca="1">IF(R25+1&lt;&gt;R27,IF(R25+1&lt;&gt;R28,IF(R25+1&lt;&gt;R29,IF(R25+1&lt;&gt;R30,IF(R25+1&lt;&gt;R31,IF(R25+1&lt;&gt;R32,IF(R25+1&lt;&gt;R33,0,1),1),1),1),1),1),1)</f>
        <v>#VALUE!</v>
      </c>
      <c r="S34" s="48" t="e">
        <f ca="1">IF(R25+2&lt;&gt;S27,IF(R25+2&lt;&gt;S28,IF(R25+2&lt;&gt;S29,IF(R25+2&lt;&gt;S30,IF(R25+2&lt;&gt;S31,IF(R25+2&lt;&gt;S32,IF(R25+2&lt;&gt;S33,0,1),1),1),1),1),1),1)</f>
        <v>#VALUE!</v>
      </c>
      <c r="T34" s="184" t="e">
        <f ca="1">IF(U25&lt;&gt;T27,IF(U25&lt;&gt;T28,IF(U25&lt;&gt;T29,IF(U25&lt;&gt;T30,IF(U25&lt;&gt;T31,IF(U25&lt;&gt;T32,IF(U25&lt;&gt;T33,0,1),1),1),1),1),1),1)</f>
        <v>#VALUE!</v>
      </c>
      <c r="U34" s="48" t="e">
        <f ca="1">IF(U25+1&lt;&gt;U27,IF(U25+1&lt;&gt;U28,IF(U25+1&lt;&gt;U29,IF(U25+1&lt;&gt;U30,IF(U25+1&lt;&gt;U31,IF(U25+1&lt;&gt;U32,IF(U25+1&lt;&gt;U33,0,1),1),1),1),1),1),1)</f>
        <v>#VALUE!</v>
      </c>
      <c r="V34" s="48" t="e">
        <f ca="1">IF(U25+2&lt;&gt;V27,IF(U25+2&lt;&gt;V28,IF(U25+2&lt;&gt;V29,IF(U25+2&lt;&gt;V30,IF(U25+2&lt;&gt;V31,IF(U25+2&lt;&gt;V32,IF(U25+2&lt;&gt;V33,0,1),1),1),1),1),1),1)</f>
        <v>#VALUE!</v>
      </c>
      <c r="W34" s="184" t="e">
        <f ca="1">IF(X25&lt;&gt;W27,IF(X25&lt;&gt;W28,IF(X25&lt;&gt;W29,IF(X25&lt;&gt;W30,IF(X25&lt;&gt;W31,IF(X25&lt;&gt;W32,IF(X25&lt;&gt;W33,0,1),1),1),1),1),1),1)</f>
        <v>#VALUE!</v>
      </c>
      <c r="X34" s="48" t="e">
        <f ca="1">IF(X25+1&lt;&gt;X27,IF(X25+1&lt;&gt;X28,IF(X25+1&lt;&gt;X29,IF(X25+1&lt;&gt;X30,IF(X25+1&lt;&gt;X31,IF(X25+1&lt;&gt;X32,IF(X25+1&lt;&gt;X33,0,1),1),1),1),1),1),1)</f>
        <v>#VALUE!</v>
      </c>
      <c r="Y34" s="48" t="e">
        <f ca="1">IF(X25+2&lt;&gt;Y27,IF(X25+2&lt;&gt;Y28,IF(X25+2&lt;&gt;Y29,IF(X25+2&lt;&gt;Y30,IF(X25+2&lt;&gt;Y31,IF(X25+2&lt;&gt;Y32,IF(X25+2&lt;&gt;Y33,0,1),1),1),1),1),1),1)</f>
        <v>#VALUE!</v>
      </c>
      <c r="Z34" s="184">
        <f>IF(AA25&lt;&gt;Z27,IF(AA25&lt;&gt;Z28,IF(AA25&lt;&gt;Z29,IF(AA25&lt;&gt;Z30,IF(AA25&lt;&gt;Z31,IF(AA25&lt;&gt;Z32,IF(AA25&lt;&gt;Z33,0,1),1),1),1),1),1),1)</f>
        <v>0</v>
      </c>
      <c r="AA34" s="48">
        <f>IF(AA25+1&lt;&gt;AA27,IF(AA25+1&lt;&gt;AA28,IF(AA25+1&lt;&gt;AA29,IF(AA25+1&lt;&gt;AA30,IF(AA25+1&lt;&gt;AA31,IF(AA25+1&lt;&gt;AA32,IF(AA25+1&lt;&gt;AA33,0,1),1),1),1),1),1),1)</f>
        <v>1</v>
      </c>
      <c r="AB34" s="48">
        <f>IF(AA25+2&lt;&gt;AB27,IF(AA25+2&lt;&gt;AB28,IF(AA25+2&lt;&gt;AB29,IF(AA25+2&lt;&gt;AB30,IF(AA25+2&lt;&gt;AB31,IF(AA25+2&lt;&gt;AB32,IF(AA25+2&lt;&gt;AB33,0,1),1),1),1),1),1),1)</f>
        <v>0</v>
      </c>
      <c r="AC34" s="184" t="e">
        <f>IF(AD25&lt;&gt;AC27,IF(AD25&lt;&gt;AC28,IF(AD25&lt;&gt;AC29,IF(AD25&lt;&gt;AC30,IF(AD25&lt;&gt;AC31,IF(AD25&lt;&gt;AC32,IF(AD25&lt;&gt;AC33,0,1),1),1),1),1),1),1)</f>
        <v>#VALUE!</v>
      </c>
      <c r="AD34" s="48" t="e">
        <f>IF(AD25+1&lt;&gt;AD27,IF(AD25+1&lt;&gt;AD28,IF(AD25+1&lt;&gt;AD29,IF(AD25+1&lt;&gt;AD30,IF(AD25+1&lt;&gt;AD31,IF(AD25+1&lt;&gt;AD32,IF(AD25+1&lt;&gt;AD33,0,1),1),1),1),1),1),1)</f>
        <v>#VALUE!</v>
      </c>
      <c r="AE34" s="48" t="e">
        <f>IF(AD25+2&lt;&gt;AE27,IF(AD25+2&lt;&gt;AE28,IF(AD25+2&lt;&gt;AE29,IF(AD25+2&lt;&gt;AE30,IF(AD25+2&lt;&gt;AE31,IF(AD25+2&lt;&gt;AE32,IF(AD25+2&lt;&gt;AE33,0,1),1),1),1),1),1),1)</f>
        <v>#VALUE!</v>
      </c>
      <c r="AF34" s="184" t="e">
        <f ca="1">IF(AG25&lt;&gt;AF27,IF(AG25&lt;&gt;AF28,IF(AG25&lt;&gt;AF29,IF(AG25&lt;&gt;AF30,IF(AG25&lt;&gt;AF31,IF(AG25&lt;&gt;AF32,IF(AG25&lt;&gt;AF33,0,1),1),1),1),1),1),1)</f>
        <v>#VALUE!</v>
      </c>
      <c r="AG34" s="48" t="e">
        <f ca="1">IF(AG25+1&lt;&gt;AG27,IF(AG25+1&lt;&gt;AG28,IF(AG25+1&lt;&gt;AG29,IF(AG25+1&lt;&gt;AG30,IF(AG25+1&lt;&gt;AG31,IF(AG25+1&lt;&gt;AG32,IF(AG25+1&lt;&gt;AG33,0,1),1),1),1),1),1),1)</f>
        <v>#VALUE!</v>
      </c>
      <c r="AH34" s="48" t="e">
        <f ca="1">IF(AG25+2&lt;&gt;AH27,IF(AG25+2&lt;&gt;AH28,IF(AG25+2&lt;&gt;AH29,IF(AG25+2&lt;&gt;AH30,IF(AG25+2&lt;&gt;AH31,IF(AG25+2&lt;&gt;AH32,IF(AG25+2&lt;&gt;AH33,0,1),1),1),1),1),1),1)</f>
        <v>#VALUE!</v>
      </c>
    </row>
    <row r="35" spans="1:34" ht="15" customHeight="1">
      <c r="A35" s="319" t="s">
        <v>1067</v>
      </c>
      <c r="B35" s="56"/>
      <c r="C35" s="56"/>
      <c r="D35" s="1"/>
      <c r="F35" s="117" t="str">
        <f ca="1">IF(F30&lt;&gt;"",IF(OR(Z78&lt;&gt;0,AA83&lt;&gt;0,AA85&lt;&gt;0),AA78,""),"")</f>
        <v/>
      </c>
      <c r="G35" s="117" t="str">
        <f ca="1">IF(G30&lt;&gt;"",IF(OR(AC78&lt;&gt;0,AD83&lt;&gt;0,AD85&lt;&gt;0),AD78,""),"")</f>
        <v/>
      </c>
      <c r="I35" s="198"/>
      <c r="J35" s="198"/>
      <c r="L35" s="312" t="s">
        <v>1061</v>
      </c>
      <c r="M35" s="313">
        <v>30</v>
      </c>
      <c r="N35" s="314" t="s">
        <v>1060</v>
      </c>
      <c r="O35" s="8"/>
      <c r="P35" t="s">
        <v>1056</v>
      </c>
      <c r="Q35" s="204" t="e">
        <f ca="1">DATE(YEAR(R25),IF((25-MOD(11*MOD(YEAR(R25),19)+4-INT((7*MOD(YEAR(R25),19)+1)/19),29)-MOD(YEAR(R25)-1900+INT((YEAR(R25)-1900)/4)+31-MOD(11*MOD(YEAR(R25),19)+4-INT((7*MOD(YEAR(R25),19)+1)/19),29),7))&lt;=0,3,4),IF(25-MOD(11*MOD(YEAR(R25),19)+4-INT((7*MOD(YEAR(R25),19)+1)/19),29)-MOD(YEAR(R25)-1900+INT((YEAR(R25)-1900)/4)+31-MOD(11*MOD(YEAR(R25),19)+4-INT((7*MOD(YEAR(R25),19)+1)/19),29),7)&lt;=0,25-MOD(11*MOD(YEAR(R25),19)+4-INT((7*MOD(YEAR(R25),19)+1)/19),29)-MOD(YEAR(R25)-1900+INT((YEAR(R25)-1900)/4)+31-MOD(11*MOD(YEAR(R25),19)+4-INT((7*MOD(YEAR(R25),19)+1)/19),29),7)+31,25-MOD(11*MOD(YEAR(R25),19)+4-INT((7*MOD(YEAR(R25),19)+1)/19),29)-MOD(YEAR(R25)-1900+INT((YEAR(R25)-1900)/4)+31-MOD(11*MOD(YEAR(R25),19)+4-INT((7*MOD(YEAR(R25),19)+1)/19),29),7)))</f>
        <v>#VALUE!</v>
      </c>
      <c r="R35" s="63" t="e">
        <f ca="1">DATE(YEAR((R25+1)),IF((25-MOD(11*MOD(YEAR((R25+1)),19)+4-INT((7*MOD(YEAR((R25+1)),19)+1)/19),29)-MOD(YEAR((R25+1))-1900+INT((YEAR((R25+1))-1900)/4)+31-MOD(11*MOD(YEAR((R25+1)),19)+4-INT((7*MOD(YEAR((R25+1)),19)+1)/19),29),7))&lt;=0,3,4),IF(25-MOD(11*MOD(YEAR((R25+1)),19)+4-INT((7*MOD(YEAR((R25+1)),19)+1)/19),29)-MOD(YEAR((R25+1))-1900+INT((YEAR((R25+1))-1900)/4)+31-MOD(11*MOD(YEAR((R25+1)),19)+4-INT((7*MOD(YEAR((R25+1)),19)+1)/19),29),7)&lt;=0,25-MOD(11*MOD(YEAR((R25+1)),19)+4-INT((7*MOD(YEAR((R25+1)),19)+1)/19),29)-MOD(YEAR((R25+1))-1900+INT((YEAR((R25+1))-1900)/4)+31-MOD(11*MOD(YEAR((R25+1)),19)+4-INT((7*MOD(YEAR((R25+1)),19)+1)/19),29),7)+31,25-MOD(11*MOD(YEAR((R25+1)),19)+4-INT((7*MOD(YEAR((R25+1)),19)+1)/19),29)-MOD(YEAR((R25+1))-1900+INT((YEAR((R25+1))-1900)/4)+31-MOD(11*MOD(YEAR((R25+1)),19)+4-INT((7*MOD(YEAR((R25+1)),19)+1)/19),29),7)))</f>
        <v>#VALUE!</v>
      </c>
      <c r="S35" s="63" t="e">
        <f ca="1">DATE(YEAR((R25+2)),IF((25-MOD(11*MOD(YEAR((R25+2)),19)+4-INT((7*MOD(YEAR((R25+2)),19)+1)/19),29)-MOD(YEAR((R25+2))-1900+INT((YEAR((R25+2))-1900)/4)+31-MOD(11*MOD(YEAR((R25+2)),19)+4-INT((7*MOD(YEAR((R25+2)),19)+1)/19),29),7))&lt;=0,3,4),IF(25-MOD(11*MOD(YEAR((R25+2)),19)+4-INT((7*MOD(YEAR((R25+2)),19)+1)/19),29)-MOD(YEAR((R25+2))-1900+INT((YEAR((R25+2))-1900)/4)+31-MOD(11*MOD(YEAR((R25+2)),19)+4-INT((7*MOD(YEAR((R25+2)),19)+1)/19),29),7)&lt;=0,25-MOD(11*MOD(YEAR((R25+2)),19)+4-INT((7*MOD(YEAR((R25+2)),19)+1)/19),29)-MOD(YEAR((R25+2))-1900+INT((YEAR((R25+2))-1900)/4)+31-MOD(11*MOD(YEAR((R25+2)),19)+4-INT((7*MOD(YEAR((R25+2)),19)+1)/19),29),7)+31,25-MOD(11*MOD(YEAR((R25+2)),19)+4-INT((7*MOD(YEAR((R25+2)),19)+1)/19),29)-MOD(YEAR((R25+2))-1900+INT((YEAR((R25+2))-1900)/4)+31-MOD(11*MOD(YEAR((R25+2)),19)+4-INT((7*MOD(YEAR((R25+2)),19)+1)/19),29),7)))</f>
        <v>#VALUE!</v>
      </c>
      <c r="T35" s="204" t="e">
        <f ca="1">DATE(YEAR(U25),IF((25-MOD(11*MOD(YEAR(U25),19)+4-INT((7*MOD(YEAR(U25),19)+1)/19),29)-MOD(YEAR(U25)-1900+INT((YEAR(U25)-1900)/4)+31-MOD(11*MOD(YEAR(U25),19)+4-INT((7*MOD(YEAR(U25),19)+1)/19),29),7))&lt;=0,3,4),IF(25-MOD(11*MOD(YEAR(U25),19)+4-INT((7*MOD(YEAR(U25),19)+1)/19),29)-MOD(YEAR(U25)-1900+INT((YEAR(U25)-1900)/4)+31-MOD(11*MOD(YEAR(U25),19)+4-INT((7*MOD(YEAR(U25),19)+1)/19),29),7)&lt;=0,25-MOD(11*MOD(YEAR(U25),19)+4-INT((7*MOD(YEAR(U25),19)+1)/19),29)-MOD(YEAR(U25)-1900+INT((YEAR(U25)-1900)/4)+31-MOD(11*MOD(YEAR(U25),19)+4-INT((7*MOD(YEAR(U25),19)+1)/19),29),7)+31,25-MOD(11*MOD(YEAR(U25),19)+4-INT((7*MOD(YEAR(U25),19)+1)/19),29)-MOD(YEAR(U25)-1900+INT((YEAR(U25)-1900)/4)+31-MOD(11*MOD(YEAR(U25),19)+4-INT((7*MOD(YEAR(U25),19)+1)/19),29),7)))</f>
        <v>#VALUE!</v>
      </c>
      <c r="U35" s="63" t="e">
        <f ca="1">DATE(YEAR((U25+1)),IF((25-MOD(11*MOD(YEAR((U25+1)),19)+4-INT((7*MOD(YEAR((U25+1)),19)+1)/19),29)-MOD(YEAR((U25+1))-1900+INT((YEAR((U25+1))-1900)/4)+31-MOD(11*MOD(YEAR((U25+1)),19)+4-INT((7*MOD(YEAR((U25+1)),19)+1)/19),29),7))&lt;=0,3,4),IF(25-MOD(11*MOD(YEAR((U25+1)),19)+4-INT((7*MOD(YEAR((U25+1)),19)+1)/19),29)-MOD(YEAR((U25+1))-1900+INT((YEAR((U25+1))-1900)/4)+31-MOD(11*MOD(YEAR((U25+1)),19)+4-INT((7*MOD(YEAR((U25+1)),19)+1)/19),29),7)&lt;=0,25-MOD(11*MOD(YEAR((U25+1)),19)+4-INT((7*MOD(YEAR((U25+1)),19)+1)/19),29)-MOD(YEAR((U25+1))-1900+INT((YEAR((U25+1))-1900)/4)+31-MOD(11*MOD(YEAR((U25+1)),19)+4-INT((7*MOD(YEAR((U25+1)),19)+1)/19),29),7)+31,25-MOD(11*MOD(YEAR((U25+1)),19)+4-INT((7*MOD(YEAR((U25+1)),19)+1)/19),29)-MOD(YEAR((U25+1))-1900+INT((YEAR((U25+1))-1900)/4)+31-MOD(11*MOD(YEAR((U25+1)),19)+4-INT((7*MOD(YEAR((U25+1)),19)+1)/19),29),7)))</f>
        <v>#VALUE!</v>
      </c>
      <c r="V35" s="63" t="e">
        <f ca="1">DATE(YEAR((U25+2)),IF((25-MOD(11*MOD(YEAR((U25+2)),19)+4-INT((7*MOD(YEAR((U25+2)),19)+1)/19),29)-MOD(YEAR((U25+2))-1900+INT((YEAR((U25+2))-1900)/4)+31-MOD(11*MOD(YEAR((U25+2)),19)+4-INT((7*MOD(YEAR((U25+2)),19)+1)/19),29),7))&lt;=0,3,4),IF(25-MOD(11*MOD(YEAR((U25+2)),19)+4-INT((7*MOD(YEAR((U25+2)),19)+1)/19),29)-MOD(YEAR((U25+2))-1900+INT((YEAR((U25+2))-1900)/4)+31-MOD(11*MOD(YEAR((U25+2)),19)+4-INT((7*MOD(YEAR((U25+2)),19)+1)/19),29),7)&lt;=0,25-MOD(11*MOD(YEAR((U25+2)),19)+4-INT((7*MOD(YEAR((U25+2)),19)+1)/19),29)-MOD(YEAR((U25+2))-1900+INT((YEAR((U25+2))-1900)/4)+31-MOD(11*MOD(YEAR((U25+2)),19)+4-INT((7*MOD(YEAR((U25+2)),19)+1)/19),29),7)+31,25-MOD(11*MOD(YEAR((U25+2)),19)+4-INT((7*MOD(YEAR((U25+2)),19)+1)/19),29)-MOD(YEAR((U25+2))-1900+INT((YEAR((U25+2))-1900)/4)+31-MOD(11*MOD(YEAR((U25+2)),19)+4-INT((7*MOD(YEAR((U25+2)),19)+1)/19),29),7)))</f>
        <v>#VALUE!</v>
      </c>
      <c r="W35" s="204" t="e">
        <f ca="1">DATE(YEAR(X25),IF((25-MOD(11*MOD(YEAR(X25),19)+4-INT((7*MOD(YEAR(X25),19)+1)/19),29)-MOD(YEAR(X25)-1900+INT((YEAR(X25)-1900)/4)+31-MOD(11*MOD(YEAR(X25),19)+4-INT((7*MOD(YEAR(X25),19)+1)/19),29),7))&lt;=0,3,4),IF(25-MOD(11*MOD(YEAR(X25),19)+4-INT((7*MOD(YEAR(X25),19)+1)/19),29)-MOD(YEAR(X25)-1900+INT((YEAR(X25)-1900)/4)+31-MOD(11*MOD(YEAR(X25),19)+4-INT((7*MOD(YEAR(X25),19)+1)/19),29),7)&lt;=0,25-MOD(11*MOD(YEAR(X25),19)+4-INT((7*MOD(YEAR(X25),19)+1)/19),29)-MOD(YEAR(X25)-1900+INT((YEAR(X25)-1900)/4)+31-MOD(11*MOD(YEAR(X25),19)+4-INT((7*MOD(YEAR(X25),19)+1)/19),29),7)+31,25-MOD(11*MOD(YEAR(X25),19)+4-INT((7*MOD(YEAR(X25),19)+1)/19),29)-MOD(YEAR(X25)-1900+INT((YEAR(X25)-1900)/4)+31-MOD(11*MOD(YEAR(X25),19)+4-INT((7*MOD(YEAR(X25),19)+1)/19),29),7)))</f>
        <v>#VALUE!</v>
      </c>
      <c r="X35" s="63" t="e">
        <f ca="1">DATE(YEAR((X25+1)),IF((25-MOD(11*MOD(YEAR((X25+1)),19)+4-INT((7*MOD(YEAR((X25+1)),19)+1)/19),29)-MOD(YEAR((X25+1))-1900+INT((YEAR((X25+1))-1900)/4)+31-MOD(11*MOD(YEAR((X25+1)),19)+4-INT((7*MOD(YEAR((X25+1)),19)+1)/19),29),7))&lt;=0,3,4),IF(25-MOD(11*MOD(YEAR((X25+1)),19)+4-INT((7*MOD(YEAR((X25+1)),19)+1)/19),29)-MOD(YEAR((X25+1))-1900+INT((YEAR((X25+1))-1900)/4)+31-MOD(11*MOD(YEAR((X25+1)),19)+4-INT((7*MOD(YEAR((X25+1)),19)+1)/19),29),7)&lt;=0,25-MOD(11*MOD(YEAR((X25+1)),19)+4-INT((7*MOD(YEAR((X25+1)),19)+1)/19),29)-MOD(YEAR((X25+1))-1900+INT((YEAR((X25+1))-1900)/4)+31-MOD(11*MOD(YEAR((X25+1)),19)+4-INT((7*MOD(YEAR((X25+1)),19)+1)/19),29),7)+31,25-MOD(11*MOD(YEAR((X25+1)),19)+4-INT((7*MOD(YEAR((X25+1)),19)+1)/19),29)-MOD(YEAR((X25+1))-1900+INT((YEAR((X25+1))-1900)/4)+31-MOD(11*MOD(YEAR((X25+1)),19)+4-INT((7*MOD(YEAR((X25+1)),19)+1)/19),29),7)))</f>
        <v>#VALUE!</v>
      </c>
      <c r="Y35" s="63" t="e">
        <f ca="1">DATE(YEAR((X25+2)),IF((25-MOD(11*MOD(YEAR((X25+2)),19)+4-INT((7*MOD(YEAR((X25+2)),19)+1)/19),29)-MOD(YEAR((X25+2))-1900+INT((YEAR((X25+2))-1900)/4)+31-MOD(11*MOD(YEAR((X25+2)),19)+4-INT((7*MOD(YEAR((X25+2)),19)+1)/19),29),7))&lt;=0,3,4),IF(25-MOD(11*MOD(YEAR((X25+2)),19)+4-INT((7*MOD(YEAR((X25+2)),19)+1)/19),29)-MOD(YEAR((X25+2))-1900+INT((YEAR((X25+2))-1900)/4)+31-MOD(11*MOD(YEAR((X25+2)),19)+4-INT((7*MOD(YEAR((X25+2)),19)+1)/19),29),7)&lt;=0,25-MOD(11*MOD(YEAR((X25+2)),19)+4-INT((7*MOD(YEAR((X25+2)),19)+1)/19),29)-MOD(YEAR((X25+2))-1900+INT((YEAR((X25+2))-1900)/4)+31-MOD(11*MOD(YEAR((X25+2)),19)+4-INT((7*MOD(YEAR((X25+2)),19)+1)/19),29),7)+31,25-MOD(11*MOD(YEAR((X25+2)),19)+4-INT((7*MOD(YEAR((X25+2)),19)+1)/19),29)-MOD(YEAR((X25+2))-1900+INT((YEAR((X25+2))-1900)/4)+31-MOD(11*MOD(YEAR((X25+2)),19)+4-INT((7*MOD(YEAR((X25+2)),19)+1)/19),29),7)))</f>
        <v>#VALUE!</v>
      </c>
      <c r="Z35" s="204">
        <f>DATE(YEAR(AA25),IF((25-MOD(11*MOD(YEAR(AA25),19)+4-INT((7*MOD(YEAR(AA25),19)+1)/19),29)-MOD(YEAR(AA25)-1900+INT((YEAR(AA25)-1900)/4)+31-MOD(11*MOD(YEAR(AA25),19)+4-INT((7*MOD(YEAR(AA25),19)+1)/19),29),7))&lt;=0,3,4),IF(25-MOD(11*MOD(YEAR(AA25),19)+4-INT((7*MOD(YEAR(AA25),19)+1)/19),29)-MOD(YEAR(AA25)-1900+INT((YEAR(AA25)-1900)/4)+31-MOD(11*MOD(YEAR(AA25),19)+4-INT((7*MOD(YEAR(AA25),19)+1)/19),29),7)&lt;=0,25-MOD(11*MOD(YEAR(AA25),19)+4-INT((7*MOD(YEAR(AA25),19)+1)/19),29)-MOD(YEAR(AA25)-1900+INT((YEAR(AA25)-1900)/4)+31-MOD(11*MOD(YEAR(AA25),19)+4-INT((7*MOD(YEAR(AA25),19)+1)/19),29),7)+31,25-MOD(11*MOD(YEAR(AA25),19)+4-INT((7*MOD(YEAR(AA25),19)+1)/19),29)-MOD(YEAR(AA25)-1900+INT((YEAR(AA25)-1900)/4)+31-MOD(11*MOD(YEAR(AA25),19)+4-INT((7*MOD(YEAR(AA25),19)+1)/19),29),7)))</f>
        <v>106</v>
      </c>
      <c r="AA35" s="63">
        <f>DATE(YEAR((AA25+1)),IF((25-MOD(11*MOD(YEAR((AA25+1)),19)+4-INT((7*MOD(YEAR((AA25+1)),19)+1)/19),29)-MOD(YEAR((AA25+1))-1900+INT((YEAR((AA25+1))-1900)/4)+31-MOD(11*MOD(YEAR((AA25+1)),19)+4-INT((7*MOD(YEAR((AA25+1)),19)+1)/19),29),7))&lt;=0,3,4),IF(25-MOD(11*MOD(YEAR((AA25+1)),19)+4-INT((7*MOD(YEAR((AA25+1)),19)+1)/19),29)-MOD(YEAR((AA25+1))-1900+INT((YEAR((AA25+1))-1900)/4)+31-MOD(11*MOD(YEAR((AA25+1)),19)+4-INT((7*MOD(YEAR((AA25+1)),19)+1)/19),29),7)&lt;=0,25-MOD(11*MOD(YEAR((AA25+1)),19)+4-INT((7*MOD(YEAR((AA25+1)),19)+1)/19),29)-MOD(YEAR((AA25+1))-1900+INT((YEAR((AA25+1))-1900)/4)+31-MOD(11*MOD(YEAR((AA25+1)),19)+4-INT((7*MOD(YEAR((AA25+1)),19)+1)/19),29),7)+31,25-MOD(11*MOD(YEAR((AA25+1)),19)+4-INT((7*MOD(YEAR((AA25+1)),19)+1)/19),29)-MOD(YEAR((AA25+1))-1900+INT((YEAR((AA25+1))-1900)/4)+31-MOD(11*MOD(YEAR((AA25+1)),19)+4-INT((7*MOD(YEAR((AA25+1)),19)+1)/19),29),7)))</f>
        <v>106</v>
      </c>
      <c r="AB35" s="90">
        <f>DATE(YEAR((AA25+2)),IF((25-MOD(11*MOD(YEAR((AA25+2)),19)+4-INT((7*MOD(YEAR((AA25+2)),19)+1)/19),29)-MOD(YEAR((AA25+2))-1900+INT((YEAR((AA25+2))-1900)/4)+31-MOD(11*MOD(YEAR((AA25+2)),19)+4-INT((7*MOD(YEAR((AA25+2)),19)+1)/19),29),7))&lt;=0,3,4),IF(25-MOD(11*MOD(YEAR((AA25+2)),19)+4-INT((7*MOD(YEAR((AA25+2)),19)+1)/19),29)-MOD(YEAR((AA25+2))-1900+INT((YEAR((AA25+2))-1900)/4)+31-MOD(11*MOD(YEAR((AA25+2)),19)+4-INT((7*MOD(YEAR((AA25+2)),19)+1)/19),29),7)&lt;=0,25-MOD(11*MOD(YEAR((AA25+2)),19)+4-INT((7*MOD(YEAR((AA25+2)),19)+1)/19),29)-MOD(YEAR((AA25+2))-1900+INT((YEAR((AA25+2))-1900)/4)+31-MOD(11*MOD(YEAR((AA25+2)),19)+4-INT((7*MOD(YEAR((AA25+2)),19)+1)/19),29),7)+31,25-MOD(11*MOD(YEAR((AA25+2)),19)+4-INT((7*MOD(YEAR((AA25+2)),19)+1)/19),29)-MOD(YEAR((AA25+2))-1900+INT((YEAR((AA25+2))-1900)/4)+31-MOD(11*MOD(YEAR((AA25+2)),19)+4-INT((7*MOD(YEAR((AA25+2)),19)+1)/19),29),7)))</f>
        <v>106</v>
      </c>
      <c r="AC35" s="204" t="e">
        <f>DATE(YEAR(AD25),IF((25-MOD(11*MOD(YEAR(AD25),19)+4-INT((7*MOD(YEAR(AD25),19)+1)/19),29)-MOD(YEAR(AD25)-1900+INT((YEAR(AD25)-1900)/4)+31-MOD(11*MOD(YEAR(AD25),19)+4-INT((7*MOD(YEAR(AD25),19)+1)/19),29),7))&lt;=0,3,4),IF(25-MOD(11*MOD(YEAR(AD25),19)+4-INT((7*MOD(YEAR(AD25),19)+1)/19),29)-MOD(YEAR(AD25)-1900+INT((YEAR(AD25)-1900)/4)+31-MOD(11*MOD(YEAR(AD25),19)+4-INT((7*MOD(YEAR(AD25),19)+1)/19),29),7)&lt;=0,25-MOD(11*MOD(YEAR(AD25),19)+4-INT((7*MOD(YEAR(AD25),19)+1)/19),29)-MOD(YEAR(AD25)-1900+INT((YEAR(AD25)-1900)/4)+31-MOD(11*MOD(YEAR(AD25),19)+4-INT((7*MOD(YEAR(AD25),19)+1)/19),29),7)+31,25-MOD(11*MOD(YEAR(AD25),19)+4-INT((7*MOD(YEAR(AD25),19)+1)/19),29)-MOD(YEAR(AD25)-1900+INT((YEAR(AD25)-1900)/4)+31-MOD(11*MOD(YEAR(AD25),19)+4-INT((7*MOD(YEAR(AD25),19)+1)/19),29),7)))</f>
        <v>#VALUE!</v>
      </c>
      <c r="AD35" s="63" t="e">
        <f>DATE(YEAR((AD25+1)),IF((25-MOD(11*MOD(YEAR((AD25+1)),19)+4-INT((7*MOD(YEAR((AD25+1)),19)+1)/19),29)-MOD(YEAR((AD25+1))-1900+INT((YEAR((AD25+1))-1900)/4)+31-MOD(11*MOD(YEAR((AD25+1)),19)+4-INT((7*MOD(YEAR((AD25+1)),19)+1)/19),29),7))&lt;=0,3,4),IF(25-MOD(11*MOD(YEAR((AD25+1)),19)+4-INT((7*MOD(YEAR((AD25+1)),19)+1)/19),29)-MOD(YEAR((AD25+1))-1900+INT((YEAR((AD25+1))-1900)/4)+31-MOD(11*MOD(YEAR((AD25+1)),19)+4-INT((7*MOD(YEAR((AD25+1)),19)+1)/19),29),7)&lt;=0,25-MOD(11*MOD(YEAR((AD25+1)),19)+4-INT((7*MOD(YEAR((AD25+1)),19)+1)/19),29)-MOD(YEAR((AD25+1))-1900+INT((YEAR((AD25+1))-1900)/4)+31-MOD(11*MOD(YEAR((AD25+1)),19)+4-INT((7*MOD(YEAR((AD25+1)),19)+1)/19),29),7)+31,25-MOD(11*MOD(YEAR((AD25+1)),19)+4-INT((7*MOD(YEAR((AD25+1)),19)+1)/19),29)-MOD(YEAR((AD25+1))-1900+INT((YEAR((AD25+1))-1900)/4)+31-MOD(11*MOD(YEAR((AD25+1)),19)+4-INT((7*MOD(YEAR((AD25+1)),19)+1)/19),29),7)))</f>
        <v>#VALUE!</v>
      </c>
      <c r="AE35" s="90" t="e">
        <f>DATE(YEAR((AD25+2)),IF((25-MOD(11*MOD(YEAR((AD25+2)),19)+4-INT((7*MOD(YEAR((AD25+2)),19)+1)/19),29)-MOD(YEAR((AD25+2))-1900+INT((YEAR((AD25+2))-1900)/4)+31-MOD(11*MOD(YEAR((AD25+2)),19)+4-INT((7*MOD(YEAR((AD25+2)),19)+1)/19),29),7))&lt;=0,3,4),IF(25-MOD(11*MOD(YEAR((AD25+2)),19)+4-INT((7*MOD(YEAR((AD25+2)),19)+1)/19),29)-MOD(YEAR((AD25+2))-1900+INT((YEAR((AD25+2))-1900)/4)+31-MOD(11*MOD(YEAR((AD25+2)),19)+4-INT((7*MOD(YEAR((AD25+2)),19)+1)/19),29),7)&lt;=0,25-MOD(11*MOD(YEAR((AD25+2)),19)+4-INT((7*MOD(YEAR((AD25+2)),19)+1)/19),29)-MOD(YEAR((AD25+2))-1900+INT((YEAR((AD25+2))-1900)/4)+31-MOD(11*MOD(YEAR((AD25+2)),19)+4-INT((7*MOD(YEAR((AD25+2)),19)+1)/19),29),7)+31,25-MOD(11*MOD(YEAR((AD25+2)),19)+4-INT((7*MOD(YEAR((AD25+2)),19)+1)/19),29)-MOD(YEAR((AD25+2))-1900+INT((YEAR((AD25+2))-1900)/4)+31-MOD(11*MOD(YEAR((AD25+2)),19)+4-INT((7*MOD(YEAR((AD25+2)),19)+1)/19),29),7)))</f>
        <v>#VALUE!</v>
      </c>
      <c r="AF35" s="204" t="e">
        <f ca="1">DATE(YEAR(AG25),IF((25-MOD(11*MOD(YEAR(AG25),19)+4-INT((7*MOD(YEAR(AG25),19)+1)/19),29)-MOD(YEAR(AG25)-1900+INT((YEAR(AG25)-1900)/4)+31-MOD(11*MOD(YEAR(AG25),19)+4-INT((7*MOD(YEAR(AG25),19)+1)/19),29),7))&lt;=0,3,4),IF(25-MOD(11*MOD(YEAR(AG25),19)+4-INT((7*MOD(YEAR(AG25),19)+1)/19),29)-MOD(YEAR(AG25)-1900+INT((YEAR(AG25)-1900)/4)+31-MOD(11*MOD(YEAR(AG25),19)+4-INT((7*MOD(YEAR(AG25),19)+1)/19),29),7)&lt;=0,25-MOD(11*MOD(YEAR(AG25),19)+4-INT((7*MOD(YEAR(AG25),19)+1)/19),29)-MOD(YEAR(AG25)-1900+INT((YEAR(AG25)-1900)/4)+31-MOD(11*MOD(YEAR(AG25),19)+4-INT((7*MOD(YEAR(AG25),19)+1)/19),29),7)+31,25-MOD(11*MOD(YEAR(AG25),19)+4-INT((7*MOD(YEAR(AG25),19)+1)/19),29)-MOD(YEAR(AG25)-1900+INT((YEAR(AG25)-1900)/4)+31-MOD(11*MOD(YEAR(AG25),19)+4-INT((7*MOD(YEAR(AG25),19)+1)/19),29),7)))</f>
        <v>#VALUE!</v>
      </c>
      <c r="AG35" s="63" t="e">
        <f ca="1">DATE(YEAR((AG25+1)),IF((25-MOD(11*MOD(YEAR((AG25+1)),19)+4-INT((7*MOD(YEAR((AG25+1)),19)+1)/19),29)-MOD(YEAR((AG25+1))-1900+INT((YEAR((AG25+1))-1900)/4)+31-MOD(11*MOD(YEAR((AG25+1)),19)+4-INT((7*MOD(YEAR((AG25+1)),19)+1)/19),29),7))&lt;=0,3,4),IF(25-MOD(11*MOD(YEAR((AG25+1)),19)+4-INT((7*MOD(YEAR((AG25+1)),19)+1)/19),29)-MOD(YEAR((AG25+1))-1900+INT((YEAR((AG25+1))-1900)/4)+31-MOD(11*MOD(YEAR((AG25+1)),19)+4-INT((7*MOD(YEAR((AG25+1)),19)+1)/19),29),7)&lt;=0,25-MOD(11*MOD(YEAR((AG25+1)),19)+4-INT((7*MOD(YEAR((AG25+1)),19)+1)/19),29)-MOD(YEAR((AG25+1))-1900+INT((YEAR((AG25+1))-1900)/4)+31-MOD(11*MOD(YEAR((AG25+1)),19)+4-INT((7*MOD(YEAR((AG25+1)),19)+1)/19),29),7)+31,25-MOD(11*MOD(YEAR((AG25+1)),19)+4-INT((7*MOD(YEAR((AG25+1)),19)+1)/19),29)-MOD(YEAR((AG25+1))-1900+INT((YEAR((AG25+1))-1900)/4)+31-MOD(11*MOD(YEAR((AG25+1)),19)+4-INT((7*MOD(YEAR((AG25+1)),19)+1)/19),29),7)))</f>
        <v>#VALUE!</v>
      </c>
      <c r="AH35" s="90" t="e">
        <f ca="1">DATE(YEAR((AG25+2)),IF((25-MOD(11*MOD(YEAR((AG25+2)),19)+4-INT((7*MOD(YEAR((AG25+2)),19)+1)/19),29)-MOD(YEAR((AG25+2))-1900+INT((YEAR((AG25+2))-1900)/4)+31-MOD(11*MOD(YEAR((AG25+2)),19)+4-INT((7*MOD(YEAR((AG25+2)),19)+1)/19),29),7))&lt;=0,3,4),IF(25-MOD(11*MOD(YEAR((AG25+2)),19)+4-INT((7*MOD(YEAR((AG25+2)),19)+1)/19),29)-MOD(YEAR((AG25+2))-1900+INT((YEAR((AG25+2))-1900)/4)+31-MOD(11*MOD(YEAR((AG25+2)),19)+4-INT((7*MOD(YEAR((AG25+2)),19)+1)/19),29),7)&lt;=0,25-MOD(11*MOD(YEAR((AG25+2)),19)+4-INT((7*MOD(YEAR((AG25+2)),19)+1)/19),29)-MOD(YEAR((AG25+2))-1900+INT((YEAR((AG25+2))-1900)/4)+31-MOD(11*MOD(YEAR((AG25+2)),19)+4-INT((7*MOD(YEAR((AG25+2)),19)+1)/19),29),7)+31,25-MOD(11*MOD(YEAR((AG25+2)),19)+4-INT((7*MOD(YEAR((AG25+2)),19)+1)/19),29)-MOD(YEAR((AG25+2))-1900+INT((YEAR((AG25+2))-1900)/4)+31-MOD(11*MOD(YEAR((AG25+2)),19)+4-INT((7*MOD(YEAR((AG25+2)),19)+1)/19),29),7)))</f>
        <v>#VALUE!</v>
      </c>
    </row>
    <row r="36" spans="1:34" ht="15" customHeight="1">
      <c r="A36" s="44" t="str">
        <f>IF(B36&lt;&gt;"","Neutralisation de l'enquête","")</f>
        <v/>
      </c>
      <c r="B36" s="349" t="str">
        <f>IF(B20&lt;&gt;"",IF(AND(B30&lt;&gt;"",OR(I29&lt;&gt;0,I33&lt;&gt;0)),CONCATENATE(MAX(I29,I33),IF(MAX(I29,I33)=1," jour"," jours"),""),""),"")</f>
        <v/>
      </c>
      <c r="C36" s="349"/>
      <c r="D36" s="356" t="str">
        <f ca="1">IF(F25="Refus tacite","Date ultime pour un recours recevable","")</f>
        <v/>
      </c>
      <c r="E36" s="356"/>
      <c r="F36" s="356"/>
      <c r="G36" s="82" t="str">
        <f ca="1">IF(L90=1,AG50+AF67,"")</f>
        <v/>
      </c>
      <c r="I36" s="198"/>
      <c r="J36" s="198"/>
      <c r="L36" s="315" t="s">
        <v>1062</v>
      </c>
      <c r="M36" s="313">
        <v>15</v>
      </c>
      <c r="N36" s="314" t="s">
        <v>1060</v>
      </c>
      <c r="O36" s="8"/>
      <c r="P36" t="s">
        <v>46</v>
      </c>
      <c r="Q36" s="204" t="e">
        <f t="shared" ref="Q36:AB36" ca="1" si="55">Q35+1</f>
        <v>#VALUE!</v>
      </c>
      <c r="R36" s="110" t="e">
        <f t="shared" ca="1" si="55"/>
        <v>#VALUE!</v>
      </c>
      <c r="S36" s="90" t="e">
        <f t="shared" ca="1" si="55"/>
        <v>#VALUE!</v>
      </c>
      <c r="T36" s="204" t="e">
        <f t="shared" ca="1" si="55"/>
        <v>#VALUE!</v>
      </c>
      <c r="U36" s="110" t="e">
        <f t="shared" ca="1" si="55"/>
        <v>#VALUE!</v>
      </c>
      <c r="V36" s="90" t="e">
        <f t="shared" ca="1" si="55"/>
        <v>#VALUE!</v>
      </c>
      <c r="W36" s="204" t="e">
        <f t="shared" ca="1" si="55"/>
        <v>#VALUE!</v>
      </c>
      <c r="X36" s="110" t="e">
        <f t="shared" ca="1" si="55"/>
        <v>#VALUE!</v>
      </c>
      <c r="Y36" s="90" t="e">
        <f t="shared" ca="1" si="55"/>
        <v>#VALUE!</v>
      </c>
      <c r="Z36" s="204">
        <f t="shared" si="55"/>
        <v>107</v>
      </c>
      <c r="AA36" s="110">
        <f t="shared" si="55"/>
        <v>107</v>
      </c>
      <c r="AB36" s="90">
        <f t="shared" si="55"/>
        <v>107</v>
      </c>
      <c r="AC36" s="204" t="e">
        <f t="shared" ref="AC36:AH36" si="56">AC35+1</f>
        <v>#VALUE!</v>
      </c>
      <c r="AD36" s="110" t="e">
        <f t="shared" si="56"/>
        <v>#VALUE!</v>
      </c>
      <c r="AE36" s="90" t="e">
        <f t="shared" si="56"/>
        <v>#VALUE!</v>
      </c>
      <c r="AF36" s="204" t="e">
        <f t="shared" ca="1" si="56"/>
        <v>#VALUE!</v>
      </c>
      <c r="AG36" s="110" t="e">
        <f t="shared" ca="1" si="56"/>
        <v>#VALUE!</v>
      </c>
      <c r="AH36" s="90" t="e">
        <f t="shared" ca="1" si="56"/>
        <v>#VALUE!</v>
      </c>
    </row>
    <row r="37" spans="1:34" ht="15" customHeight="1">
      <c r="G37" s="34"/>
      <c r="I37" s="198"/>
      <c r="J37" s="198"/>
      <c r="L37" s="315" t="s">
        <v>1063</v>
      </c>
      <c r="M37" s="313"/>
      <c r="N37" s="314" t="s">
        <v>1060</v>
      </c>
      <c r="O37" s="8"/>
      <c r="P37" t="s">
        <v>49</v>
      </c>
      <c r="Q37" s="89" t="e">
        <f t="shared" ref="Q37:AB37" ca="1" si="57">Q35+39</f>
        <v>#VALUE!</v>
      </c>
      <c r="R37" s="110" t="e">
        <f t="shared" ca="1" si="57"/>
        <v>#VALUE!</v>
      </c>
      <c r="S37" s="90" t="e">
        <f t="shared" ca="1" si="57"/>
        <v>#VALUE!</v>
      </c>
      <c r="T37" s="89" t="e">
        <f t="shared" ca="1" si="57"/>
        <v>#VALUE!</v>
      </c>
      <c r="U37" s="110" t="e">
        <f t="shared" ca="1" si="57"/>
        <v>#VALUE!</v>
      </c>
      <c r="V37" s="90" t="e">
        <f t="shared" ca="1" si="57"/>
        <v>#VALUE!</v>
      </c>
      <c r="W37" s="89" t="e">
        <f t="shared" ca="1" si="57"/>
        <v>#VALUE!</v>
      </c>
      <c r="X37" s="110" t="e">
        <f t="shared" ca="1" si="57"/>
        <v>#VALUE!</v>
      </c>
      <c r="Y37" s="90" t="e">
        <f t="shared" ca="1" si="57"/>
        <v>#VALUE!</v>
      </c>
      <c r="Z37" s="89">
        <f t="shared" si="57"/>
        <v>145</v>
      </c>
      <c r="AA37" s="110">
        <f t="shared" si="57"/>
        <v>145</v>
      </c>
      <c r="AB37" s="90">
        <f t="shared" si="57"/>
        <v>145</v>
      </c>
      <c r="AC37" s="89" t="e">
        <f t="shared" ref="AC37:AH37" si="58">AC35+39</f>
        <v>#VALUE!</v>
      </c>
      <c r="AD37" s="110" t="e">
        <f t="shared" si="58"/>
        <v>#VALUE!</v>
      </c>
      <c r="AE37" s="90" t="e">
        <f t="shared" si="58"/>
        <v>#VALUE!</v>
      </c>
      <c r="AF37" s="89" t="e">
        <f t="shared" ca="1" si="58"/>
        <v>#VALUE!</v>
      </c>
      <c r="AG37" s="110" t="e">
        <f t="shared" ca="1" si="58"/>
        <v>#VALUE!</v>
      </c>
      <c r="AH37" s="90" t="e">
        <f t="shared" ca="1" si="58"/>
        <v>#VALUE!</v>
      </c>
    </row>
    <row r="38" spans="1:34" ht="15" customHeight="1" thickBot="1">
      <c r="A38" s="34"/>
      <c r="B38" s="353" t="s">
        <v>67</v>
      </c>
      <c r="C38" s="354"/>
      <c r="D38" s="34"/>
      <c r="E38" s="353" t="s">
        <v>68</v>
      </c>
      <c r="F38" s="360"/>
      <c r="G38" s="354"/>
      <c r="L38" s="316" t="s">
        <v>13</v>
      </c>
      <c r="M38" s="317">
        <v>120</v>
      </c>
      <c r="N38" s="318" t="s">
        <v>1060</v>
      </c>
      <c r="O38" s="8"/>
      <c r="P38" t="s">
        <v>53</v>
      </c>
      <c r="Q38" s="204" t="e">
        <f t="shared" ref="Q38:AB38" ca="1" si="59">Q35+50</f>
        <v>#VALUE!</v>
      </c>
      <c r="R38" s="110" t="e">
        <f t="shared" ca="1" si="59"/>
        <v>#VALUE!</v>
      </c>
      <c r="S38" s="90" t="e">
        <f t="shared" ca="1" si="59"/>
        <v>#VALUE!</v>
      </c>
      <c r="T38" s="204" t="e">
        <f t="shared" ca="1" si="59"/>
        <v>#VALUE!</v>
      </c>
      <c r="U38" s="110" t="e">
        <f t="shared" ca="1" si="59"/>
        <v>#VALUE!</v>
      </c>
      <c r="V38" s="90" t="e">
        <f t="shared" ca="1" si="59"/>
        <v>#VALUE!</v>
      </c>
      <c r="W38" s="204" t="e">
        <f t="shared" ca="1" si="59"/>
        <v>#VALUE!</v>
      </c>
      <c r="X38" s="110" t="e">
        <f t="shared" ca="1" si="59"/>
        <v>#VALUE!</v>
      </c>
      <c r="Y38" s="90" t="e">
        <f t="shared" ca="1" si="59"/>
        <v>#VALUE!</v>
      </c>
      <c r="Z38" s="204">
        <f t="shared" si="59"/>
        <v>156</v>
      </c>
      <c r="AA38" s="110">
        <f t="shared" si="59"/>
        <v>156</v>
      </c>
      <c r="AB38" s="90">
        <f t="shared" si="59"/>
        <v>156</v>
      </c>
      <c r="AC38" s="204" t="e">
        <f t="shared" ref="AC38:AH38" si="60">AC35+50</f>
        <v>#VALUE!</v>
      </c>
      <c r="AD38" s="110" t="e">
        <f t="shared" si="60"/>
        <v>#VALUE!</v>
      </c>
      <c r="AE38" s="90" t="e">
        <f t="shared" si="60"/>
        <v>#VALUE!</v>
      </c>
      <c r="AF38" s="204" t="e">
        <f t="shared" ca="1" si="60"/>
        <v>#VALUE!</v>
      </c>
      <c r="AG38" s="110" t="e">
        <f t="shared" ca="1" si="60"/>
        <v>#VALUE!</v>
      </c>
      <c r="AH38" s="90" t="e">
        <f t="shared" ca="1" si="60"/>
        <v>#VALUE!</v>
      </c>
    </row>
    <row r="39" spans="1:34" ht="15" customHeight="1" thickTop="1">
      <c r="A39" s="37"/>
      <c r="B39" s="35" t="s">
        <v>69</v>
      </c>
      <c r="C39" s="35" t="s">
        <v>70</v>
      </c>
      <c r="D39" s="71"/>
      <c r="E39" s="35" t="s">
        <v>71</v>
      </c>
      <c r="F39" s="35" t="s">
        <v>72</v>
      </c>
      <c r="G39" s="35" t="s">
        <v>73</v>
      </c>
      <c r="O39" s="8"/>
      <c r="P39" s="47" t="s">
        <v>35</v>
      </c>
      <c r="Q39" s="184" t="e">
        <f ca="1">IF(R25&lt;&gt;Q36,IF(R25&lt;&gt;Q37,IF(R25&lt;&gt;Q38,0,1),1),1)</f>
        <v>#VALUE!</v>
      </c>
      <c r="R39" s="165" t="e">
        <f ca="1">IF(R25+1&lt;&gt;R36,IF(R25+1&lt;&gt;R37,IF(R25+1&lt;&gt;R38,0,1),1),1)</f>
        <v>#VALUE!</v>
      </c>
      <c r="S39" s="278" t="e">
        <f ca="1">IF(R25+2&lt;&gt;S36,IF(R25+2&lt;&gt;S37,IF(R25+2&lt;&gt;S38,0,1),1),1)</f>
        <v>#VALUE!</v>
      </c>
      <c r="T39" s="184" t="e">
        <f ca="1">IF(U25&lt;&gt;T36,IF(U25&lt;&gt;T37,IF(U25&lt;&gt;T38,0,1),1),1)</f>
        <v>#VALUE!</v>
      </c>
      <c r="U39" s="165" t="e">
        <f ca="1">IF(U25+1&lt;&gt;U36,IF(U25+1&lt;&gt;U37,IF(U25+1&lt;&gt;U38,0,1),1),1)</f>
        <v>#VALUE!</v>
      </c>
      <c r="V39" s="278" t="e">
        <f ca="1">IF(U25+2&lt;&gt;V36,IF(U25+2&lt;&gt;V37,IF(U25+2&lt;&gt;V38,0,1),1),1)</f>
        <v>#VALUE!</v>
      </c>
      <c r="W39" s="184" t="e">
        <f ca="1">IF(X25&lt;&gt;W36,IF(X25&lt;&gt;W37,IF(X25&lt;&gt;W38,0,1),1),1)</f>
        <v>#VALUE!</v>
      </c>
      <c r="X39" s="165" t="e">
        <f ca="1">IF(X25+1&lt;&gt;X36,IF(X25+1&lt;&gt;X37,IF(X25+1&lt;&gt;X38,0,1),1),1)</f>
        <v>#VALUE!</v>
      </c>
      <c r="Y39" s="278" t="e">
        <f ca="1">IF(X25+2&lt;&gt;Y36,IF(X25+2&lt;&gt;Y37,IF(X25+2&lt;&gt;Y38,0,1),1),1)</f>
        <v>#VALUE!</v>
      </c>
      <c r="Z39" s="184">
        <f>IF(AA25&lt;&gt;Z36,IF(AA25&lt;&gt;Z37,IF(AA25&lt;&gt;Z38,0,1),1),1)</f>
        <v>0</v>
      </c>
      <c r="AA39" s="165">
        <f>IF(AA25+1&lt;&gt;AA36,IF(AA25+1&lt;&gt;AA37,IF(AA25+1&lt;&gt;AA38,0,1),1),1)</f>
        <v>0</v>
      </c>
      <c r="AB39" s="165">
        <f>IF(AA25+2&lt;&gt;AB36,IF(AA25+2&lt;&gt;AB37,IF(AA25+2&lt;&gt;AB38,0,1),1),1)</f>
        <v>0</v>
      </c>
      <c r="AC39" s="184" t="e">
        <f>IF(AD25&lt;&gt;AC36,IF(AD25&lt;&gt;AC37,IF(AD25&lt;&gt;AC38,0,1),1),1)</f>
        <v>#VALUE!</v>
      </c>
      <c r="AD39" s="165" t="e">
        <f>IF(AD25+1&lt;&gt;AD36,IF(AD25+1&lt;&gt;AD37,IF(AD25+1&lt;&gt;AD38,0,1),1),1)</f>
        <v>#VALUE!</v>
      </c>
      <c r="AE39" s="165" t="e">
        <f>IF(AD25+2&lt;&gt;AE36,IF(AD25+2&lt;&gt;AE37,IF(AD25+2&lt;&gt;AE38,0,1),1),1)</f>
        <v>#VALUE!</v>
      </c>
      <c r="AF39" s="184" t="e">
        <f ca="1">IF(AG25&lt;&gt;AF36,IF(AG25&lt;&gt;AF37,IF(AG25&lt;&gt;AF38,0,1),1),1)</f>
        <v>#VALUE!</v>
      </c>
      <c r="AG39" s="165" t="e">
        <f ca="1">IF(AG25+1&lt;&gt;AG36,IF(AG25+1&lt;&gt;AG37,IF(AG25+1&lt;&gt;AG38,0,1),1),1)</f>
        <v>#VALUE!</v>
      </c>
      <c r="AH39" s="165" t="e">
        <f ca="1">IF(AG25+2&lt;&gt;AH36,IF(AG25+2&lt;&gt;AH37,IF(AG25+2&lt;&gt;AH38,0,1),1),1)</f>
        <v>#VALUE!</v>
      </c>
    </row>
    <row r="40" spans="1:34" ht="15" customHeight="1">
      <c r="A40" s="44" t="s">
        <v>40</v>
      </c>
      <c r="B40" s="50" t="str">
        <f ca="1">IF(OR(L83=3,L83=6),IF(G20&lt;&gt;"",R25+Q42,""),"Sans objet")</f>
        <v/>
      </c>
      <c r="C40" s="50" t="str">
        <f ca="1">IF(OR(L83=3,L83=6),IF(G20&lt;&gt;"",U25+T42,""),"Sans objet")</f>
        <v/>
      </c>
      <c r="D40" s="34"/>
      <c r="E40" s="56"/>
      <c r="F40" s="56"/>
      <c r="G40" s="56"/>
      <c r="L40" s="144" t="s">
        <v>51</v>
      </c>
      <c r="M40" s="33"/>
      <c r="O40" s="8"/>
      <c r="P40" s="47" t="s">
        <v>57</v>
      </c>
      <c r="Q40" s="185" t="e">
        <f t="shared" ref="Q40:AB40" ca="1" si="61">IF(OR(Q34=1,Q39=1),1,0)</f>
        <v>#VALUE!</v>
      </c>
      <c r="R40" s="58" t="e">
        <f t="shared" ca="1" si="61"/>
        <v>#VALUE!</v>
      </c>
      <c r="S40" s="58" t="e">
        <f t="shared" ca="1" si="61"/>
        <v>#VALUE!</v>
      </c>
      <c r="T40" s="185" t="e">
        <f t="shared" ca="1" si="61"/>
        <v>#VALUE!</v>
      </c>
      <c r="U40" s="58" t="e">
        <f t="shared" ca="1" si="61"/>
        <v>#VALUE!</v>
      </c>
      <c r="V40" s="58" t="e">
        <f t="shared" ca="1" si="61"/>
        <v>#VALUE!</v>
      </c>
      <c r="W40" s="185" t="e">
        <f t="shared" ca="1" si="61"/>
        <v>#VALUE!</v>
      </c>
      <c r="X40" s="58" t="e">
        <f t="shared" ca="1" si="61"/>
        <v>#VALUE!</v>
      </c>
      <c r="Y40" s="58" t="e">
        <f t="shared" ca="1" si="61"/>
        <v>#VALUE!</v>
      </c>
      <c r="Z40" s="185">
        <f t="shared" si="61"/>
        <v>0</v>
      </c>
      <c r="AA40" s="58">
        <f t="shared" si="61"/>
        <v>1</v>
      </c>
      <c r="AB40" s="58">
        <f t="shared" si="61"/>
        <v>0</v>
      </c>
      <c r="AC40" s="185" t="e">
        <f t="shared" ref="AC40:AH40" si="62">IF(OR(AC34=1,AC39=1),1,0)</f>
        <v>#VALUE!</v>
      </c>
      <c r="AD40" s="58" t="e">
        <f t="shared" si="62"/>
        <v>#VALUE!</v>
      </c>
      <c r="AE40" s="58" t="e">
        <f t="shared" si="62"/>
        <v>#VALUE!</v>
      </c>
      <c r="AF40" s="185" t="e">
        <f t="shared" ca="1" si="62"/>
        <v>#VALUE!</v>
      </c>
      <c r="AG40" s="58" t="e">
        <f t="shared" ca="1" si="62"/>
        <v>#VALUE!</v>
      </c>
      <c r="AH40" s="58" t="e">
        <f t="shared" ca="1" si="62"/>
        <v>#VALUE!</v>
      </c>
    </row>
    <row r="41" spans="1:34" ht="15" customHeight="1">
      <c r="A41" s="4" t="s">
        <v>47</v>
      </c>
      <c r="B41" s="50" t="str">
        <f ca="1">IF(TEXT(B40,"jjjj")&lt;&gt;"Sans objet",IF(B40&lt;&gt;"",TEXT(B40,"jjjj"),""),"")</f>
        <v/>
      </c>
      <c r="C41" s="50" t="str">
        <f ca="1">IF(TEXT(C40,"jjjj")&lt;&gt;"Sans objet",IF(C40&lt;&gt;"",TEXT(C40,"jjjj"),""),"")</f>
        <v/>
      </c>
      <c r="D41" s="34"/>
      <c r="E41" s="361" t="str">
        <f>IF(AND(B22&lt;&gt;"",L77=TRUE,J2&gt;0),"Neutralisation totale de l'enquête","")</f>
        <v/>
      </c>
      <c r="F41" s="362"/>
      <c r="G41" s="362"/>
      <c r="L41" s="57" t="str">
        <f>IF(B20&lt;&gt;"",B20+C17,"")</f>
        <v/>
      </c>
      <c r="M41" s="30" t="s">
        <v>54</v>
      </c>
      <c r="P41" s="1"/>
    </row>
    <row r="42" spans="1:34" ht="15" customHeight="1">
      <c r="A42" s="37" t="s">
        <v>50</v>
      </c>
      <c r="B42" s="56"/>
      <c r="C42" s="56"/>
      <c r="D42" s="34"/>
      <c r="E42" s="359" t="str">
        <f>IF(AND(B22&lt;&gt;"",L77=TRUE),IF(J2&gt;0,CONCATENATE(J2,IF(J2&lt;=1," jour"," jours")),""),"")</f>
        <v/>
      </c>
      <c r="F42" s="359"/>
      <c r="G42" s="359"/>
      <c r="L42" s="57" t="str">
        <f ca="1">IF(F22&lt;&gt;"",F22+G17,IF(D22="",C20,""))</f>
        <v/>
      </c>
      <c r="M42" s="30" t="s">
        <v>56</v>
      </c>
      <c r="P42" s="1" t="s">
        <v>63</v>
      </c>
      <c r="Q42" s="10" t="e">
        <f ca="1">IF(AND(S25&lt;&gt;"samedi",S25&lt;&gt;"dimanche"),IF(AND(Q40=1,S25="vendredi"),3,IF(AND(Q40=1,S25="samedi"),2,IF(Q40=1,1,0))),IF(AND(S25="samedi",S40=1),3,IF(S25="samedi",2,IF(AND(S25="dimanche",R40=1),2,1))))</f>
        <v>#VALUE!</v>
      </c>
      <c r="R42" s="277"/>
      <c r="S42" s="277"/>
      <c r="T42" s="10" t="e">
        <f ca="1">IF(AND(V25&lt;&gt;"samedi",V25&lt;&gt;"dimanche"),IF(AND(T40=1,V25="vendredi"),3,IF(AND(T40=1,V25="samedi"),2,IF(T40=1,1,0))),IF(AND(V25="samedi",V40=1),3,IF(V25="samedi",2,IF(AND(V25="dimanche",U40=1),2,1))))</f>
        <v>#VALUE!</v>
      </c>
      <c r="U42" s="277"/>
      <c r="V42" s="277"/>
      <c r="W42" s="10" t="e">
        <f ca="1">IF(AND(Y25&lt;&gt;"samedi",Y25&lt;&gt;"dimanche"),IF(AND(W40=1,Y25="vendredi"),3,IF(AND(W40=1,Y25="samedi"),2,IF(W40=1,1,0))),IF(AND(Y25="samedi",Y40=1),3,IF(Y25="samedi",2,IF(AND(Y25="dimanche",X40=1),2,1))))</f>
        <v>#VALUE!</v>
      </c>
      <c r="X42" s="277"/>
      <c r="Y42" s="277"/>
      <c r="Z42" s="10">
        <f>IF(AND(AB25&lt;&gt;"samedi",AB25&lt;&gt;"dimanche"),IF(AND(Z40=1,AB25="vendredi"),3,IF(AND(Z40=1,AB25="samedi"),2,IF(Z40=1,1,0))),IF(AND(AB25="samedi",AB40=1),3,IF(AB25="samedi",2,IF(AND(AB25="dimanche",AA40=1),2,1))))</f>
        <v>0</v>
      </c>
      <c r="AA42" s="277"/>
      <c r="AB42" s="277"/>
      <c r="AC42" s="10" t="e">
        <f>IF(AND(AE25&lt;&gt;"samedi",AE25&lt;&gt;"dimanche"),IF(AND(AC40=1,AE25="vendredi"),3,IF(AND(AC40=1,AE25="samedi"),2,IF(AC40=1,1,0))),IF(AND(AE25="samedi",AE40=1),3,IF(AE25="samedi",2,IF(AND(AE25="dimanche",AD40=1),2,1))))</f>
        <v>#VALUE!</v>
      </c>
      <c r="AD42" s="277"/>
      <c r="AF42" s="10" t="e">
        <f ca="1">IF(AND(AH25&lt;&gt;"samedi",AH25&lt;&gt;"dimanche"),IF(AND(AF40=1,AH25="vendredi"),3,IF(AND(AF40=1,AH25="samedi"),2,IF(AF40=1,1,0))),IF(AND(AH25="samedi",AH40=1),3,IF(AH25="samedi",2,IF(AND(AH25="dimanche",AG40=1),2,1))))</f>
        <v>#VALUE!</v>
      </c>
      <c r="AG42" s="277"/>
    </row>
    <row r="43" spans="1:34" ht="15" customHeight="1">
      <c r="L43" s="57" t="str">
        <f ca="1">IF(G20&lt;&gt;"",IF(F22&lt;&gt;"",IF(B20&lt;&gt;"",IF(L79=1,AA50+Z67,G20+L44-1),""),IF(B20&lt;&gt;"",AA50+Z67,"")),"")</f>
        <v/>
      </c>
      <c r="M43" s="30" t="s">
        <v>58</v>
      </c>
      <c r="Z43" s="113"/>
      <c r="AA43" s="82"/>
    </row>
    <row r="44" spans="1:34" ht="15" customHeight="1">
      <c r="B44" s="345" t="s">
        <v>1010</v>
      </c>
      <c r="C44" s="346"/>
      <c r="L44" s="151" t="str">
        <f ca="1">IF(G20&lt;&gt;"",IF(F22&lt;&gt;"",IF(OR(L83=2,L83=3,L83=6),IF(OR(L75=1,L76=TRUE,L83=6),M12,M10+IF(L76=TRUE,M16-M16,0)),M30)+AC67+IF(AND(L71=TRUE,L72=TRUE),IF(AND(B45&lt;&gt;"",B45&gt;E30),E28,0),IF(E30&gt;=E33,E28,0))+J2,""),"")</f>
        <v/>
      </c>
      <c r="M44" s="30"/>
      <c r="Z44" s="114"/>
      <c r="AA44" s="233"/>
      <c r="AB44" s="114"/>
    </row>
    <row r="45" spans="1:34" ht="15" customHeight="1">
      <c r="A45" s="319" t="s">
        <v>1080</v>
      </c>
      <c r="B45" s="365" t="str">
        <f ca="1">IF(G20&lt;&gt;"",IF(AND(L72=TRUE,L71=TRUE),G20,"Sans objet"),"")</f>
        <v/>
      </c>
      <c r="C45" s="354"/>
      <c r="D45" s="71"/>
      <c r="E45" s="71"/>
      <c r="F45" s="71"/>
      <c r="G45" s="71"/>
      <c r="Z45" s="115"/>
      <c r="AA45" s="115"/>
      <c r="AB45" s="116"/>
    </row>
    <row r="46" spans="1:34" ht="15" customHeight="1">
      <c r="A46" s="319" t="s">
        <v>1081</v>
      </c>
      <c r="B46" s="366"/>
      <c r="C46" s="367"/>
      <c r="G46" s="73"/>
      <c r="K46" s="29"/>
      <c r="Z46" s="115"/>
      <c r="AA46" s="115"/>
      <c r="AB46" s="115"/>
    </row>
    <row r="47" spans="1:34" ht="15" customHeight="1">
      <c r="A47" s="319" t="s">
        <v>1079</v>
      </c>
      <c r="B47" s="368" t="str">
        <f>IF(Demande!L72=TRUE,IF(B46&lt;&gt;"",B46-B45+1,""),"")</f>
        <v/>
      </c>
      <c r="C47" s="369"/>
      <c r="H47" s="29"/>
      <c r="I47" s="6"/>
      <c r="J47" s="6"/>
      <c r="P47" s="1"/>
      <c r="AA47" s="115"/>
      <c r="AB47" s="115"/>
    </row>
    <row r="48" spans="1:34" ht="15" customHeight="1">
      <c r="H48" s="29"/>
      <c r="I48" s="6"/>
      <c r="J48" s="6"/>
      <c r="P48" s="1"/>
      <c r="X48" s="1"/>
    </row>
    <row r="49" spans="1:34" ht="15" customHeight="1">
      <c r="H49" s="29"/>
      <c r="I49" s="6"/>
      <c r="J49" s="6"/>
      <c r="Q49" s="180" t="s">
        <v>6</v>
      </c>
      <c r="R49" s="81"/>
      <c r="T49" s="180" t="s">
        <v>8</v>
      </c>
      <c r="U49" s="81"/>
      <c r="V49" s="1"/>
      <c r="W49" s="180" t="s">
        <v>9</v>
      </c>
      <c r="X49" s="81"/>
      <c r="Z49" s="180" t="s">
        <v>984</v>
      </c>
      <c r="AA49" s="81"/>
      <c r="AC49" s="180" t="s">
        <v>13</v>
      </c>
      <c r="AD49" s="81"/>
      <c r="AF49" s="180" t="s">
        <v>1088</v>
      </c>
      <c r="AG49" s="81"/>
    </row>
    <row r="50" spans="1:34" ht="24.95" customHeight="1">
      <c r="A50" s="372" t="s">
        <v>74</v>
      </c>
      <c r="B50" s="354"/>
      <c r="C50" s="72" t="s">
        <v>75</v>
      </c>
      <c r="D50" s="357" t="s">
        <v>76</v>
      </c>
      <c r="E50" s="358"/>
      <c r="F50" s="72" t="s">
        <v>77</v>
      </c>
      <c r="H50" s="29"/>
      <c r="J50" s="196" t="str">
        <f>IF(B20&lt;&gt;"",IF(OR(L76=TRUE,L83=6),M15,IF(OR(L83=1,L83=4),J2+M28,J2+IF(L75=2,IF(L83=5,M35,M14),M15))),"")</f>
        <v/>
      </c>
      <c r="L50" s="154"/>
      <c r="M50" s="135"/>
      <c r="P50" s="17"/>
      <c r="Q50" s="181" t="s">
        <v>81</v>
      </c>
      <c r="R50" s="25" t="str">
        <f>IF(B20&lt;&gt;"",B20+IF(L83=5,M33,M5),"")</f>
        <v/>
      </c>
      <c r="S50" s="64" t="str">
        <f>TEXT(R50,"jjjj")</f>
        <v/>
      </c>
      <c r="T50" s="181" t="s">
        <v>81</v>
      </c>
      <c r="U50" s="25">
        <f>IF(C22=EOMONTH(C22,0),EOMONTH(C22,M6),EDATE(C22,M6))+1</f>
        <v>183</v>
      </c>
      <c r="V50" s="64" t="str">
        <f>TEXT(U50,"jjjj")</f>
        <v>dimanche</v>
      </c>
      <c r="W50" s="181" t="s">
        <v>81</v>
      </c>
      <c r="X50" s="25" t="str">
        <f>IF(F22&lt;&gt;"",F22+IF(L83=5,M34,M7),R50)</f>
        <v/>
      </c>
      <c r="Y50" s="64" t="str">
        <f>TEXT(X50,"jjjj")</f>
        <v/>
      </c>
      <c r="Z50" s="181" t="s">
        <v>81</v>
      </c>
      <c r="AA50" s="25" t="e">
        <f ca="1">IF(AND(OR(L74=TRUE,ArtD68!J24=0),L75=2),IF(ArtD68!J28=1,G20+IF(L76=FALSE,M31,0),IF(ArtD68!J33=1,ArtD68!E19+1,IF(ArtD68!J22=1,IF(ArtD68!F22&lt;&gt;"",ArtD68!F20,IF(ArtD68!E20&lt;&gt;"",ArtD68!E20,ArtD68!E19)),G20))),G20)+IF(OR(L83=2,L83=3,L83=6),IF(OR(L75=1,L76=TRUE,L83=6),M9+IF(AND(B47&lt;&gt;"",L71=TRUE),B47,0),M8+IF(AND(B47&lt;&gt;"",L71=TRUE),B47,0)+IF(L76=TRUE,M16-M16,0))+IF(E30&gt;=E33,E28,0),M29)+J2</f>
        <v>#VALUE!</v>
      </c>
      <c r="AB50" s="64" t="e">
        <f ca="1">TEXT(AA50,"jjjj")</f>
        <v>#VALUE!</v>
      </c>
      <c r="AC50" s="181" t="s">
        <v>81</v>
      </c>
      <c r="AD50" s="25" t="e">
        <f ca="1">IF(OR(L83=2,L83=3,L83=6),IF(L78=0,IF(AND(OR(L74=TRUE,ArtD68!J24=0),L75=2),IF(ArtD68!J28=1,G20+IF(L76=FALSE,M31,0),IF(ArtD68!J33=1,ArtD68!E19+1,IF(ArtD68!J22=1,IF(ArtD68!F20&lt;&gt;"",ArtD68!F20,IF(ArtD68!E20&lt;&gt;"",ArtD68!E20,ArtD68!E19)),G20))),G20)+IF(OR(L83=2,L83=3,L83=6),IF(OR(L75=1,L76=TRUE,L83=6),M12+IF(AND(B47&lt;&gt;"",L71=TRUE),B47,0),M10+IF(AND(B47&lt;&gt;"",L71=TRUE),B47,0)+IF(L76=TRUE,M16-M16,0)),M30)+IF(E30&gt;=E33,E28,0)+J2,IF(OR(L75=1,L76=TRUE,L83=6),F34+M13,F34+M11)),G20+M30)</f>
        <v>#VALUE!</v>
      </c>
      <c r="AE50" s="64" t="e">
        <f ca="1">TEXT(AD50,"jjjj")</f>
        <v>#VALUE!</v>
      </c>
      <c r="AF50" s="181" t="s">
        <v>81</v>
      </c>
      <c r="AG50" s="25" t="str">
        <f ca="1">IF(L90=1,G30+M27,"")</f>
        <v/>
      </c>
      <c r="AH50" s="64" t="str">
        <f ca="1">TEXT(AG50,"jjjj")</f>
        <v/>
      </c>
    </row>
    <row r="51" spans="1:34" ht="15" customHeight="1">
      <c r="A51" s="363"/>
      <c r="B51" s="364"/>
      <c r="C51" s="74"/>
      <c r="D51" s="190" t="str">
        <f t="shared" ref="D51:D80" si="63">IF(AND(D$22&lt;&gt;"",F$22=""),"",IF(C51&lt;&gt;"",TEXT(E51,"jjjj"),""))</f>
        <v/>
      </c>
      <c r="E51" s="191" t="str">
        <f>IF(AND(B22&lt;&gt;"",C51&lt;&gt;""),Q6+Q22,"")</f>
        <v/>
      </c>
      <c r="F51" s="74"/>
      <c r="G51" s="75" t="str">
        <f t="shared" ref="G51:G80" ca="1" si="64">IF(AND(B$22&lt;&gt;"",A51&lt;&gt;"",C51&lt;&gt;""),IF(AND(F51="",TODAY()&gt;E51-B$83),"Avis non reçu",IF(F51&gt;E51,"Réputé favorable","")),"")</f>
        <v/>
      </c>
      <c r="H51" s="29"/>
      <c r="L51" s="154"/>
      <c r="M51" s="135"/>
      <c r="P51" s="17"/>
      <c r="Q51" s="182" t="s">
        <v>24</v>
      </c>
      <c r="R51" s="22" t="s">
        <v>25</v>
      </c>
      <c r="S51" s="22" t="s">
        <v>26</v>
      </c>
      <c r="T51" s="182" t="s">
        <v>24</v>
      </c>
      <c r="U51" s="22" t="s">
        <v>25</v>
      </c>
      <c r="V51" s="22" t="s">
        <v>26</v>
      </c>
      <c r="W51" s="182" t="s">
        <v>24</v>
      </c>
      <c r="X51" s="22" t="s">
        <v>25</v>
      </c>
      <c r="Y51" s="22" t="s">
        <v>26</v>
      </c>
      <c r="Z51" s="182" t="s">
        <v>24</v>
      </c>
      <c r="AA51" s="22" t="s">
        <v>25</v>
      </c>
      <c r="AB51" s="22" t="s">
        <v>26</v>
      </c>
      <c r="AC51" s="182" t="s">
        <v>24</v>
      </c>
      <c r="AD51" s="22" t="s">
        <v>25</v>
      </c>
      <c r="AE51" s="22" t="s">
        <v>26</v>
      </c>
      <c r="AF51" s="182" t="s">
        <v>24</v>
      </c>
      <c r="AG51" s="22" t="s">
        <v>25</v>
      </c>
      <c r="AH51" s="22" t="s">
        <v>26</v>
      </c>
    </row>
    <row r="52" spans="1:34" ht="15" customHeight="1">
      <c r="A52" s="363"/>
      <c r="B52" s="364"/>
      <c r="C52" s="74"/>
      <c r="D52" s="190" t="str">
        <f t="shared" si="63"/>
        <v/>
      </c>
      <c r="E52" s="191" t="str">
        <f>IF(AND(B22&lt;&gt;"",C52&lt;&gt;""),T6+T22,"")</f>
        <v/>
      </c>
      <c r="F52" s="74"/>
      <c r="G52" s="75" t="str">
        <f t="shared" ca="1" si="64"/>
        <v/>
      </c>
      <c r="H52" s="29"/>
      <c r="L52" s="154"/>
      <c r="M52" s="135"/>
      <c r="P52" s="26">
        <v>37257</v>
      </c>
      <c r="Q52" s="203" t="e">
        <f>DATE(YEAR(R50),1,1)</f>
        <v>#VALUE!</v>
      </c>
      <c r="R52" s="25" t="e">
        <f>DATE(YEAR(R50+1),1,1)</f>
        <v>#VALUE!</v>
      </c>
      <c r="S52" s="25" t="e">
        <f>DATE(YEAR(R50+2),1,1)</f>
        <v>#VALUE!</v>
      </c>
      <c r="T52" s="203">
        <f>DATE(YEAR(U50),1,1)</f>
        <v>1</v>
      </c>
      <c r="U52" s="25">
        <f>DATE(YEAR(U50+1),1,1)</f>
        <v>1</v>
      </c>
      <c r="V52" s="25">
        <f>DATE(YEAR(U50+2),1,1)</f>
        <v>1</v>
      </c>
      <c r="W52" s="203" t="e">
        <f>DATE(YEAR(X50),1,1)</f>
        <v>#VALUE!</v>
      </c>
      <c r="X52" s="25" t="e">
        <f>DATE(YEAR(X50+1),1,1)</f>
        <v>#VALUE!</v>
      </c>
      <c r="Y52" s="25" t="e">
        <f>DATE(YEAR(X50+2),1,1)</f>
        <v>#VALUE!</v>
      </c>
      <c r="Z52" s="203" t="e">
        <f ca="1">DATE(YEAR(AA50),1,1)</f>
        <v>#VALUE!</v>
      </c>
      <c r="AA52" s="25" t="e">
        <f ca="1">DATE(YEAR(AA50+1),1,1)</f>
        <v>#VALUE!</v>
      </c>
      <c r="AB52" s="25" t="e">
        <f ca="1">DATE(YEAR(AA50+2),1,1)</f>
        <v>#VALUE!</v>
      </c>
      <c r="AC52" s="203" t="e">
        <f ca="1">DATE(YEAR(AD50),1,1)</f>
        <v>#VALUE!</v>
      </c>
      <c r="AD52" s="25" t="e">
        <f ca="1">DATE(YEAR(AD50+1),1,1)</f>
        <v>#VALUE!</v>
      </c>
      <c r="AE52" s="25" t="e">
        <f ca="1">DATE(YEAR(AD50+2),1,1)</f>
        <v>#VALUE!</v>
      </c>
      <c r="AF52" s="203" t="e">
        <f ca="1">DATE(YEAR(AG50),1,1)</f>
        <v>#VALUE!</v>
      </c>
      <c r="AG52" s="25" t="e">
        <f ca="1">DATE(YEAR(AG50+1),1,1)</f>
        <v>#VALUE!</v>
      </c>
      <c r="AH52" s="25" t="e">
        <f ca="1">DATE(YEAR(AG50+2),1,1)</f>
        <v>#VALUE!</v>
      </c>
    </row>
    <row r="53" spans="1:34" ht="15" customHeight="1">
      <c r="A53" s="363"/>
      <c r="B53" s="364"/>
      <c r="C53" s="74"/>
      <c r="D53" s="190" t="str">
        <f t="shared" si="63"/>
        <v/>
      </c>
      <c r="E53" s="191" t="str">
        <f>IF(AND(B22&lt;&gt;"",C53&lt;&gt;""),W6+W22,"")</f>
        <v/>
      </c>
      <c r="F53" s="74"/>
      <c r="G53" s="75" t="str">
        <f t="shared" ca="1" si="64"/>
        <v/>
      </c>
      <c r="H53" s="29"/>
      <c r="L53" s="154"/>
      <c r="M53" s="135"/>
      <c r="P53" s="26">
        <v>37377</v>
      </c>
      <c r="Q53" s="203" t="e">
        <f>DATE(YEAR(R50),5,1)</f>
        <v>#VALUE!</v>
      </c>
      <c r="R53" s="25" t="e">
        <f>DATE(YEAR(R50+1),5,1)</f>
        <v>#VALUE!</v>
      </c>
      <c r="S53" s="25" t="e">
        <f>DATE(YEAR(R50+2),5,1)</f>
        <v>#VALUE!</v>
      </c>
      <c r="T53" s="203">
        <f>DATE(YEAR(U50),5,1)</f>
        <v>122</v>
      </c>
      <c r="U53" s="25">
        <f>DATE(YEAR(U50+1),5,1)</f>
        <v>122</v>
      </c>
      <c r="V53" s="25">
        <f>DATE(YEAR(U50+2),5,1)</f>
        <v>122</v>
      </c>
      <c r="W53" s="203" t="e">
        <f>DATE(YEAR(X50),5,1)</f>
        <v>#VALUE!</v>
      </c>
      <c r="X53" s="25" t="e">
        <f>DATE(YEAR(X50+1),5,1)</f>
        <v>#VALUE!</v>
      </c>
      <c r="Y53" s="25" t="e">
        <f>DATE(YEAR(X50+2),5,1)</f>
        <v>#VALUE!</v>
      </c>
      <c r="Z53" s="203" t="e">
        <f ca="1">DATE(YEAR(AA50),5,1)</f>
        <v>#VALUE!</v>
      </c>
      <c r="AA53" s="25" t="e">
        <f ca="1">DATE(YEAR(AA50+1),5,1)</f>
        <v>#VALUE!</v>
      </c>
      <c r="AB53" s="25" t="e">
        <f ca="1">DATE(YEAR(AA50+2),5,1)</f>
        <v>#VALUE!</v>
      </c>
      <c r="AC53" s="203" t="e">
        <f ca="1">DATE(YEAR(AD50),5,1)</f>
        <v>#VALUE!</v>
      </c>
      <c r="AD53" s="25" t="e">
        <f ca="1">DATE(YEAR(AD50+1),5,1)</f>
        <v>#VALUE!</v>
      </c>
      <c r="AE53" s="25" t="e">
        <f ca="1">DATE(YEAR(AD50+2),5,1)</f>
        <v>#VALUE!</v>
      </c>
      <c r="AF53" s="203" t="e">
        <f ca="1">DATE(YEAR(AG50),5,1)</f>
        <v>#VALUE!</v>
      </c>
      <c r="AG53" s="25" t="e">
        <f ca="1">DATE(YEAR(AG50+1),5,1)</f>
        <v>#VALUE!</v>
      </c>
      <c r="AH53" s="25" t="e">
        <f ca="1">DATE(YEAR(AG50+2),5,1)</f>
        <v>#VALUE!</v>
      </c>
    </row>
    <row r="54" spans="1:34" ht="15" customHeight="1">
      <c r="A54" s="363"/>
      <c r="B54" s="364"/>
      <c r="C54" s="74"/>
      <c r="D54" s="190" t="str">
        <f t="shared" si="63"/>
        <v/>
      </c>
      <c r="E54" s="191" t="str">
        <f>IF(AND(B22&lt;&gt;"",C54&lt;&gt;""),Z6+Z22,"")</f>
        <v/>
      </c>
      <c r="F54" s="74"/>
      <c r="G54" s="75" t="str">
        <f t="shared" ca="1" si="64"/>
        <v/>
      </c>
      <c r="H54" s="29"/>
      <c r="L54" s="154"/>
      <c r="M54" s="135"/>
      <c r="P54" s="26">
        <v>37458</v>
      </c>
      <c r="Q54" s="203" t="e">
        <f>DATE(YEAR(R50),7,21)</f>
        <v>#VALUE!</v>
      </c>
      <c r="R54" s="25" t="e">
        <f>DATE(YEAR(R50+1),7,21)</f>
        <v>#VALUE!</v>
      </c>
      <c r="S54" s="25" t="e">
        <f>DATE(YEAR(R50+2),7,21)</f>
        <v>#VALUE!</v>
      </c>
      <c r="T54" s="203">
        <f>DATE(YEAR(U50),7,21)</f>
        <v>203</v>
      </c>
      <c r="U54" s="25">
        <f>DATE(YEAR(U50+1),7,21)</f>
        <v>203</v>
      </c>
      <c r="V54" s="25">
        <f>DATE(YEAR(U50+2),7,21)</f>
        <v>203</v>
      </c>
      <c r="W54" s="203" t="e">
        <f>DATE(YEAR(X50),7,21)</f>
        <v>#VALUE!</v>
      </c>
      <c r="X54" s="25" t="e">
        <f>DATE(YEAR(X50+1),7,21)</f>
        <v>#VALUE!</v>
      </c>
      <c r="Y54" s="25" t="e">
        <f>DATE(YEAR(X50+2),7,21)</f>
        <v>#VALUE!</v>
      </c>
      <c r="Z54" s="203" t="e">
        <f ca="1">DATE(YEAR(AA50),7,21)</f>
        <v>#VALUE!</v>
      </c>
      <c r="AA54" s="25" t="e">
        <f ca="1">DATE(YEAR(AA50+1),7,21)</f>
        <v>#VALUE!</v>
      </c>
      <c r="AB54" s="25" t="e">
        <f ca="1">DATE(YEAR(AA50+2),7,21)</f>
        <v>#VALUE!</v>
      </c>
      <c r="AC54" s="203" t="e">
        <f ca="1">DATE(YEAR(AD50),7,21)</f>
        <v>#VALUE!</v>
      </c>
      <c r="AD54" s="25" t="e">
        <f ca="1">DATE(YEAR(AD50+1),7,21)</f>
        <v>#VALUE!</v>
      </c>
      <c r="AE54" s="25" t="e">
        <f ca="1">DATE(YEAR(AD50+2),7,21)</f>
        <v>#VALUE!</v>
      </c>
      <c r="AF54" s="203" t="e">
        <f ca="1">DATE(YEAR(AG50),7,21)</f>
        <v>#VALUE!</v>
      </c>
      <c r="AG54" s="25" t="e">
        <f ca="1">DATE(YEAR(AG50+1),7,21)</f>
        <v>#VALUE!</v>
      </c>
      <c r="AH54" s="25" t="e">
        <f ca="1">DATE(YEAR(AG50+2),7,21)</f>
        <v>#VALUE!</v>
      </c>
    </row>
    <row r="55" spans="1:34" ht="15" customHeight="1">
      <c r="A55" s="363"/>
      <c r="B55" s="364"/>
      <c r="C55" s="74"/>
      <c r="D55" s="190" t="str">
        <f t="shared" si="63"/>
        <v/>
      </c>
      <c r="E55" s="191" t="str">
        <f>IF(AND(B22&lt;&gt;"",C55&lt;&gt;""),AC6+AC22,"")</f>
        <v/>
      </c>
      <c r="F55" s="74"/>
      <c r="G55" s="75" t="str">
        <f t="shared" ca="1" si="64"/>
        <v/>
      </c>
      <c r="H55" s="1"/>
      <c r="L55" s="154"/>
      <c r="M55" s="135"/>
      <c r="P55" s="26">
        <v>37483</v>
      </c>
      <c r="Q55" s="203" t="e">
        <f>DATE(YEAR(R50),8,15)</f>
        <v>#VALUE!</v>
      </c>
      <c r="R55" s="25" t="e">
        <f>DATE(YEAR(R50+1),8,15)</f>
        <v>#VALUE!</v>
      </c>
      <c r="S55" s="25" t="e">
        <f>DATE(YEAR(R50+2),8,15)</f>
        <v>#VALUE!</v>
      </c>
      <c r="T55" s="203">
        <f>DATE(YEAR(U50),8,15)</f>
        <v>228</v>
      </c>
      <c r="U55" s="25">
        <f>DATE(YEAR(U50+1),8,15)</f>
        <v>228</v>
      </c>
      <c r="V55" s="25">
        <f>DATE(YEAR(U50+2),8,15)</f>
        <v>228</v>
      </c>
      <c r="W55" s="203" t="e">
        <f>DATE(YEAR(X50),8,15)</f>
        <v>#VALUE!</v>
      </c>
      <c r="X55" s="25" t="e">
        <f>DATE(YEAR(X50+1),8,15)</f>
        <v>#VALUE!</v>
      </c>
      <c r="Y55" s="25" t="e">
        <f>DATE(YEAR(X50+2),8,15)</f>
        <v>#VALUE!</v>
      </c>
      <c r="Z55" s="203" t="e">
        <f ca="1">DATE(YEAR(AA50),8,15)</f>
        <v>#VALUE!</v>
      </c>
      <c r="AA55" s="25" t="e">
        <f ca="1">DATE(YEAR(AA50+1),8,15)</f>
        <v>#VALUE!</v>
      </c>
      <c r="AB55" s="25" t="e">
        <f ca="1">DATE(YEAR(AA50+2),8,15)</f>
        <v>#VALUE!</v>
      </c>
      <c r="AC55" s="203" t="e">
        <f ca="1">DATE(YEAR(AD50),8,15)</f>
        <v>#VALUE!</v>
      </c>
      <c r="AD55" s="25" t="e">
        <f ca="1">DATE(YEAR(AD50+1),8,15)</f>
        <v>#VALUE!</v>
      </c>
      <c r="AE55" s="25" t="e">
        <f ca="1">DATE(YEAR(AD50+2),8,15)</f>
        <v>#VALUE!</v>
      </c>
      <c r="AF55" s="203" t="e">
        <f ca="1">DATE(YEAR(AG50),8,15)</f>
        <v>#VALUE!</v>
      </c>
      <c r="AG55" s="25" t="e">
        <f ca="1">DATE(YEAR(AG50+1),8,15)</f>
        <v>#VALUE!</v>
      </c>
      <c r="AH55" s="25" t="e">
        <f ca="1">DATE(YEAR(AG50+2),8,15)</f>
        <v>#VALUE!</v>
      </c>
    </row>
    <row r="56" spans="1:34" ht="15" customHeight="1">
      <c r="A56" s="363"/>
      <c r="B56" s="364"/>
      <c r="C56" s="74"/>
      <c r="D56" s="190" t="str">
        <f t="shared" si="63"/>
        <v/>
      </c>
      <c r="E56" s="191" t="str">
        <f>IF(AND(B22&lt;&gt;"",C56&lt;&gt;""),AF6+AF22,"")</f>
        <v/>
      </c>
      <c r="F56" s="74"/>
      <c r="G56" s="75" t="str">
        <f t="shared" ca="1" si="64"/>
        <v/>
      </c>
      <c r="H56" s="1"/>
      <c r="L56" s="154"/>
      <c r="M56" s="135"/>
      <c r="P56" s="26">
        <v>37561</v>
      </c>
      <c r="Q56" s="203" t="e">
        <f>DATE(YEAR(R50),11,1)</f>
        <v>#VALUE!</v>
      </c>
      <c r="R56" s="25" t="e">
        <f>DATE(YEAR(R50+1),11,1)</f>
        <v>#VALUE!</v>
      </c>
      <c r="S56" s="25" t="e">
        <f>DATE(YEAR(R50+2),11,1)</f>
        <v>#VALUE!</v>
      </c>
      <c r="T56" s="203">
        <f>DATE(YEAR(U50),11,1)</f>
        <v>306</v>
      </c>
      <c r="U56" s="25">
        <f>DATE(YEAR(U50+1),11,1)</f>
        <v>306</v>
      </c>
      <c r="V56" s="25">
        <f>DATE(YEAR(U50+2),11,1)</f>
        <v>306</v>
      </c>
      <c r="W56" s="203" t="e">
        <f>DATE(YEAR(X50),11,1)</f>
        <v>#VALUE!</v>
      </c>
      <c r="X56" s="25" t="e">
        <f>DATE(YEAR(X50+1),11,1)</f>
        <v>#VALUE!</v>
      </c>
      <c r="Y56" s="25" t="e">
        <f>DATE(YEAR(X50+2),11,1)</f>
        <v>#VALUE!</v>
      </c>
      <c r="Z56" s="203" t="e">
        <f ca="1">DATE(YEAR(AA50),11,1)</f>
        <v>#VALUE!</v>
      </c>
      <c r="AA56" s="25" t="e">
        <f ca="1">DATE(YEAR(AA50+1),11,1)</f>
        <v>#VALUE!</v>
      </c>
      <c r="AB56" s="25" t="e">
        <f ca="1">DATE(YEAR(AA50+2),11,1)</f>
        <v>#VALUE!</v>
      </c>
      <c r="AC56" s="203" t="e">
        <f ca="1">DATE(YEAR(AD50),11,1)</f>
        <v>#VALUE!</v>
      </c>
      <c r="AD56" s="25" t="e">
        <f ca="1">DATE(YEAR(AD50+1),11,1)</f>
        <v>#VALUE!</v>
      </c>
      <c r="AE56" s="25" t="e">
        <f ca="1">DATE(YEAR(AD50+2),11,1)</f>
        <v>#VALUE!</v>
      </c>
      <c r="AF56" s="203" t="e">
        <f ca="1">DATE(YEAR(AG50),11,1)</f>
        <v>#VALUE!</v>
      </c>
      <c r="AG56" s="25" t="e">
        <f ca="1">DATE(YEAR(AG50+1),11,1)</f>
        <v>#VALUE!</v>
      </c>
      <c r="AH56" s="25" t="e">
        <f ca="1">DATE(YEAR(AG50+2),11,1)</f>
        <v>#VALUE!</v>
      </c>
    </row>
    <row r="57" spans="1:34" ht="15" customHeight="1">
      <c r="A57" s="363"/>
      <c r="B57" s="364"/>
      <c r="C57" s="74"/>
      <c r="D57" s="190" t="str">
        <f t="shared" si="63"/>
        <v/>
      </c>
      <c r="E57" s="191" t="str">
        <f>IF(AND(B22&lt;&gt;"",C57&lt;&gt;""),AI6+AI22,"")</f>
        <v/>
      </c>
      <c r="F57" s="74"/>
      <c r="G57" s="75" t="str">
        <f t="shared" ca="1" si="64"/>
        <v/>
      </c>
      <c r="H57" s="1"/>
      <c r="L57" s="154"/>
      <c r="M57" s="135"/>
      <c r="P57" s="26">
        <v>37571</v>
      </c>
      <c r="Q57" s="203" t="e">
        <f>DATE(YEAR(R50),11,11)</f>
        <v>#VALUE!</v>
      </c>
      <c r="R57" s="25" t="e">
        <f>DATE(YEAR(R50+1),11,11)</f>
        <v>#VALUE!</v>
      </c>
      <c r="S57" s="25" t="e">
        <f>DATE(YEAR(R50+2),11,11)</f>
        <v>#VALUE!</v>
      </c>
      <c r="T57" s="203">
        <f>DATE(YEAR(U50),11,11)</f>
        <v>316</v>
      </c>
      <c r="U57" s="25">
        <f>DATE(YEAR(U50+1),11,11)</f>
        <v>316</v>
      </c>
      <c r="V57" s="25">
        <f>DATE(YEAR(U50+2),11,11)</f>
        <v>316</v>
      </c>
      <c r="W57" s="203" t="e">
        <f>DATE(YEAR(X50),11,11)</f>
        <v>#VALUE!</v>
      </c>
      <c r="X57" s="25" t="e">
        <f>DATE(YEAR(X50+1),11,11)</f>
        <v>#VALUE!</v>
      </c>
      <c r="Y57" s="25" t="e">
        <f>DATE(YEAR(X50+2),11,11)</f>
        <v>#VALUE!</v>
      </c>
      <c r="Z57" s="203" t="e">
        <f ca="1">DATE(YEAR(AA50),11,11)</f>
        <v>#VALUE!</v>
      </c>
      <c r="AA57" s="25" t="e">
        <f ca="1">DATE(YEAR(AA50+1),11,11)</f>
        <v>#VALUE!</v>
      </c>
      <c r="AB57" s="25" t="e">
        <f ca="1">DATE(YEAR(AA50+2),11,11)</f>
        <v>#VALUE!</v>
      </c>
      <c r="AC57" s="203" t="e">
        <f ca="1">DATE(YEAR(AD50),11,11)</f>
        <v>#VALUE!</v>
      </c>
      <c r="AD57" s="25" t="e">
        <f ca="1">DATE(YEAR(AD50+1),11,11)</f>
        <v>#VALUE!</v>
      </c>
      <c r="AE57" s="25" t="e">
        <f ca="1">DATE(YEAR(AD50+2),11,11)</f>
        <v>#VALUE!</v>
      </c>
      <c r="AF57" s="203" t="e">
        <f ca="1">DATE(YEAR(AG50),11,11)</f>
        <v>#VALUE!</v>
      </c>
      <c r="AG57" s="25" t="e">
        <f ca="1">DATE(YEAR(AG50+1),11,11)</f>
        <v>#VALUE!</v>
      </c>
      <c r="AH57" s="25" t="e">
        <f ca="1">DATE(YEAR(AG50+2),11,11)</f>
        <v>#VALUE!</v>
      </c>
    </row>
    <row r="58" spans="1:34" ht="15" customHeight="1">
      <c r="A58" s="363"/>
      <c r="B58" s="364"/>
      <c r="C58" s="74"/>
      <c r="D58" s="190" t="str">
        <f t="shared" si="63"/>
        <v/>
      </c>
      <c r="E58" s="191" t="str">
        <f>IF(AND(B22&lt;&gt;"",C58&lt;&gt;""),AL6+AL22,"")</f>
        <v/>
      </c>
      <c r="F58" s="74"/>
      <c r="G58" s="75" t="str">
        <f t="shared" ca="1" si="64"/>
        <v/>
      </c>
      <c r="H58" s="1"/>
      <c r="L58" s="154"/>
      <c r="M58" s="135"/>
      <c r="P58" s="26">
        <v>37615</v>
      </c>
      <c r="Q58" s="203" t="e">
        <f>DATE(YEAR(R50),12,25)</f>
        <v>#VALUE!</v>
      </c>
      <c r="R58" s="25" t="e">
        <f>DATE(YEAR(R50+1),12,25)</f>
        <v>#VALUE!</v>
      </c>
      <c r="S58" s="25" t="e">
        <f>DATE(YEAR(R50+2),12,25)</f>
        <v>#VALUE!</v>
      </c>
      <c r="T58" s="203">
        <f>DATE(YEAR(U50),12,25)</f>
        <v>360</v>
      </c>
      <c r="U58" s="25">
        <f>DATE(YEAR(U50+1),12,25)</f>
        <v>360</v>
      </c>
      <c r="V58" s="25">
        <f>DATE(YEAR(U50+2),12,25)</f>
        <v>360</v>
      </c>
      <c r="W58" s="203" t="e">
        <f>DATE(YEAR(X50),12,25)</f>
        <v>#VALUE!</v>
      </c>
      <c r="X58" s="25" t="e">
        <f>DATE(YEAR(X50+1),12,25)</f>
        <v>#VALUE!</v>
      </c>
      <c r="Y58" s="25" t="e">
        <f>DATE(YEAR(X50+2),12,25)</f>
        <v>#VALUE!</v>
      </c>
      <c r="Z58" s="203" t="e">
        <f ca="1">DATE(YEAR(AA50),12,25)</f>
        <v>#VALUE!</v>
      </c>
      <c r="AA58" s="25" t="e">
        <f ca="1">DATE(YEAR(AA50+1),12,25)</f>
        <v>#VALUE!</v>
      </c>
      <c r="AB58" s="25" t="e">
        <f ca="1">DATE(YEAR(AA50+2),12,25)</f>
        <v>#VALUE!</v>
      </c>
      <c r="AC58" s="203" t="e">
        <f ca="1">DATE(YEAR(AD50),12,25)</f>
        <v>#VALUE!</v>
      </c>
      <c r="AD58" s="25" t="e">
        <f ca="1">DATE(YEAR(AD50+1),12,25)</f>
        <v>#VALUE!</v>
      </c>
      <c r="AE58" s="25" t="e">
        <f ca="1">DATE(YEAR(AD50+2),12,25)</f>
        <v>#VALUE!</v>
      </c>
      <c r="AF58" s="203" t="e">
        <f ca="1">DATE(YEAR(AG50),12,25)</f>
        <v>#VALUE!</v>
      </c>
      <c r="AG58" s="25" t="e">
        <f ca="1">DATE(YEAR(AG50+1),12,25)</f>
        <v>#VALUE!</v>
      </c>
      <c r="AH58" s="25" t="e">
        <f ca="1">DATE(YEAR(AG50+2),12,25)</f>
        <v>#VALUE!</v>
      </c>
    </row>
    <row r="59" spans="1:34" ht="15" customHeight="1">
      <c r="A59" s="363"/>
      <c r="B59" s="364"/>
      <c r="C59" s="74"/>
      <c r="D59" s="190" t="str">
        <f t="shared" si="63"/>
        <v/>
      </c>
      <c r="E59" s="191" t="str">
        <f>IF(AND(B22&lt;&gt;"",C59&lt;&gt;""),AO6+AO22,"")</f>
        <v/>
      </c>
      <c r="F59" s="138"/>
      <c r="G59" s="75" t="str">
        <f t="shared" ca="1" si="64"/>
        <v/>
      </c>
      <c r="L59" s="154"/>
      <c r="M59" s="135"/>
      <c r="P59" s="47" t="s">
        <v>43</v>
      </c>
      <c r="Q59" s="184" t="e">
        <f>IF(R50&lt;&gt;Q52,IF(R50&lt;&gt;Q53,IF(R50&lt;&gt;Q54,IF(R50&lt;&gt;Q55,IF(R50&lt;&gt;Q56,IF(R50&lt;&gt;Q57,IF(R50&lt;&gt;Q58,0,1),1),1),1),1),1),1)</f>
        <v>#VALUE!</v>
      </c>
      <c r="R59" s="70" t="e">
        <f>IF(R50+1&lt;&gt;R52,IF(R50+1&lt;&gt;R53,IF(R50+1&lt;&gt;R54,IF(R50+1&lt;&gt;R55,IF(R50+1&lt;&gt;R56,IF(R50+1&lt;&gt;R57,IF(R50+1&lt;&gt;R58,0,1),1),1),1),1),1),1)</f>
        <v>#VALUE!</v>
      </c>
      <c r="S59" s="70" t="e">
        <f>IF(R50+2&lt;&gt;S52,IF(R50+2&lt;&gt;S53,IF(R50+2&lt;&gt;S54,IF(R50+2&lt;&gt;S55,IF(R50+2&lt;&gt;S56,IF(R50+2&lt;&gt;S57,IF(R50+2&lt;&gt;S58,0,1),1),1),1),1),1),1)</f>
        <v>#VALUE!</v>
      </c>
      <c r="T59" s="184">
        <f>IF(U50&lt;&gt;T52,IF(U50&lt;&gt;T53,IF(U50&lt;&gt;T54,IF(U50&lt;&gt;T55,IF(U50&lt;&gt;T56,IF(U50&lt;&gt;T57,IF(U50&lt;&gt;T58,0,1),1),1),1),1),1),1)</f>
        <v>0</v>
      </c>
      <c r="U59" s="70">
        <f>IF(U50+1&lt;&gt;U52,IF(U50+1&lt;&gt;U53,IF(U50+1&lt;&gt;U54,IF(U50+1&lt;&gt;U55,IF(U50+1&lt;&gt;U56,IF(U50+1&lt;&gt;U57,IF(U50+1&lt;&gt;U58,0,1),1),1),1),1),1),1)</f>
        <v>0</v>
      </c>
      <c r="V59" s="70">
        <f>IF(U50+2&lt;&gt;V52,IF(U50+2&lt;&gt;V53,IF(U50+2&lt;&gt;V54,IF(U50+2&lt;&gt;V55,IF(U50+2&lt;&gt;V56,IF(U50+2&lt;&gt;V57,IF(U50+2&lt;&gt;V58,0,1),1),1),1),1),1),1)</f>
        <v>0</v>
      </c>
      <c r="W59" s="184" t="e">
        <f>IF(X50&lt;&gt;W52,IF(X50&lt;&gt;W53,IF(X50&lt;&gt;W54,IF(X50&lt;&gt;W55,IF(X50&lt;&gt;W56,IF(X50&lt;&gt;W57,IF(X50&lt;&gt;W58,0,1),1),1),1),1),1),1)</f>
        <v>#VALUE!</v>
      </c>
      <c r="X59" s="70" t="e">
        <f>IF(X50+1&lt;&gt;X52,IF(X50+1&lt;&gt;X53,IF(X50+1&lt;&gt;X54,IF(X50+1&lt;&gt;X55,IF(X50+1&lt;&gt;X56,IF(X50+1&lt;&gt;X57,IF(X50+1&lt;&gt;X58,0,1),1),1),1),1),1),1)</f>
        <v>#VALUE!</v>
      </c>
      <c r="Y59" s="70" t="e">
        <f>IF(X50+2&lt;&gt;Y52,IF(X50+2&lt;&gt;Y53,IF(X50+2&lt;&gt;Y54,IF(X50+2&lt;&gt;Y55,IF(X50+2&lt;&gt;Y56,IF(X50+2&lt;&gt;Y57,IF(X50+2&lt;&gt;Y58,0,1),1),1),1),1),1),1)</f>
        <v>#VALUE!</v>
      </c>
      <c r="Z59" s="184" t="e">
        <f ca="1">IF(AA50&lt;&gt;Z52,IF(AA50&lt;&gt;Z53,IF(AA50&lt;&gt;Z54,IF(AA50&lt;&gt;Z55,IF(AA50&lt;&gt;Z56,IF(AA50&lt;&gt;Z57,IF(AA50&lt;&gt;Z58,0,1),1),1),1),1),1),1)</f>
        <v>#VALUE!</v>
      </c>
      <c r="AA59" s="70" t="e">
        <f ca="1">IF(AA50+1&lt;&gt;AA52,IF(AA50+1&lt;&gt;AA53,IF(AA50+1&lt;&gt;AA54,IF(AA50+1&lt;&gt;AA55,IF(AA50+1&lt;&gt;AA56,IF(AA50+1&lt;&gt;AA57,IF(AA50+1&lt;&gt;AA58,0,1),1),1),1),1),1),1)</f>
        <v>#VALUE!</v>
      </c>
      <c r="AB59" s="70" t="e">
        <f ca="1">IF(AA50+2&lt;&gt;AB52,IF(AA50+2&lt;&gt;AB53,IF(AA50+2&lt;&gt;AB54,IF(AA50+2&lt;&gt;AB55,IF(AA50+2&lt;&gt;AB56,IF(AA50+2&lt;&gt;AB57,IF(AA50+2&lt;&gt;AB58,0,1),1),1),1),1),1),1)</f>
        <v>#VALUE!</v>
      </c>
      <c r="AC59" s="184" t="e">
        <f ca="1">IF(AD50&lt;&gt;AC52,IF(AD50&lt;&gt;AC53,IF(AD50&lt;&gt;AC54,IF(AD50&lt;&gt;AC55,IF(AD50&lt;&gt;AC56,IF(AD50&lt;&gt;AC57,IF(AD50&lt;&gt;AC58,0,1),1),1),1),1),1),1)</f>
        <v>#VALUE!</v>
      </c>
      <c r="AD59" s="70" t="e">
        <f ca="1">IF(AD50+1&lt;&gt;AD52,IF(AD50+1&lt;&gt;AD53,IF(AD50+1&lt;&gt;AD54,IF(AD50+1&lt;&gt;AD55,IF(AD50+1&lt;&gt;AD56,IF(AD50+1&lt;&gt;AD57,IF(AD50+1&lt;&gt;AD58,0,1),1),1),1),1),1),1)</f>
        <v>#VALUE!</v>
      </c>
      <c r="AE59" s="70" t="e">
        <f ca="1">IF(AD50+2&lt;&gt;AE52,IF(AD50+2&lt;&gt;AE53,IF(AD50+2&lt;&gt;AE54,IF(AD50+2&lt;&gt;AE55,IF(AD50+2&lt;&gt;AE56,IF(AD50+2&lt;&gt;AE57,IF(AD50+2&lt;&gt;AE58,0,1),1),1),1),1),1),1)</f>
        <v>#VALUE!</v>
      </c>
      <c r="AF59" s="184" t="e">
        <f ca="1">IF(AG50&lt;&gt;AF52,IF(AG50&lt;&gt;AF53,IF(AG50&lt;&gt;AF54,IF(AG50&lt;&gt;AF55,IF(AG50&lt;&gt;AF56,IF(AG50&lt;&gt;AF57,IF(AG50&lt;&gt;AF58,0,1),1),1),1),1),1),1)</f>
        <v>#VALUE!</v>
      </c>
      <c r="AG59" s="70" t="e">
        <f ca="1">IF(AG50+1&lt;&gt;AG52,IF(AG50+1&lt;&gt;AG53,IF(AG50+1&lt;&gt;AG54,IF(AG50+1&lt;&gt;AG55,IF(AG50+1&lt;&gt;AG56,IF(AG50+1&lt;&gt;AG57,IF(AG50+1&lt;&gt;AG58,0,1),1),1),1),1),1),1)</f>
        <v>#VALUE!</v>
      </c>
      <c r="AH59" s="70" t="e">
        <f ca="1">IF(AG50+2&lt;&gt;AH52,IF(AG50+2&lt;&gt;AH53,IF(AG50+2&lt;&gt;AH54,IF(AG50+2&lt;&gt;AH55,IF(AG50+2&lt;&gt;AH56,IF(AG50+2&lt;&gt;AH57,IF(AG50+2&lt;&gt;AH58,0,1),1),1),1),1),1),1)</f>
        <v>#VALUE!</v>
      </c>
    </row>
    <row r="60" spans="1:34" ht="15" customHeight="1">
      <c r="A60" s="363"/>
      <c r="B60" s="364"/>
      <c r="C60" s="74"/>
      <c r="D60" s="190" t="str">
        <f t="shared" si="63"/>
        <v/>
      </c>
      <c r="E60" s="191" t="str">
        <f>IF(AND(B22&lt;&gt;"",C60&lt;&gt;""),AR6+AR22,"")</f>
        <v/>
      </c>
      <c r="F60" s="138"/>
      <c r="G60" s="75" t="str">
        <f t="shared" ca="1" si="64"/>
        <v/>
      </c>
      <c r="L60" s="154"/>
      <c r="M60" s="135"/>
      <c r="P60" t="s">
        <v>1056</v>
      </c>
      <c r="Q60" s="256" t="e">
        <f>DATE(YEAR(R50),IF((25-MOD(11*MOD(YEAR(R50),19)+4-INT((7*MOD(YEAR(R50),19)+1)/19),29)-MOD(YEAR(R50)-1900+INT((YEAR(R50)-1900)/4)+31-MOD(11*MOD(YEAR(R50),19)+4-INT((7*MOD(YEAR(R50),19)+1)/19),29),7))&lt;=0,3,4),IF(25-MOD(11*MOD(YEAR(R50),19)+4-INT((7*MOD(YEAR(R50),19)+1)/19),29)-MOD(YEAR(R50)-1900+INT((YEAR(R50)-1900)/4)+31-MOD(11*MOD(YEAR(R50),19)+4-INT((7*MOD(YEAR(R50),19)+1)/19),29),7)&lt;=0,25-MOD(11*MOD(YEAR(R50),19)+4-INT((7*MOD(YEAR(R50),19)+1)/19),29)-MOD(YEAR(R50)-1900+INT((YEAR(R50)-1900)/4)+31-MOD(11*MOD(YEAR(R50),19)+4-INT((7*MOD(YEAR(R50),19)+1)/19),29),7)+31,25-MOD(11*MOD(YEAR(R50),19)+4-INT((7*MOD(YEAR(R50),19)+1)/19),29)-MOD(YEAR(R50)-1900+INT((YEAR(R50)-1900)/4)+31-MOD(11*MOD(YEAR(R50),19)+4-INT((7*MOD(YEAR(R50),19)+1)/19),29),7)))</f>
        <v>#VALUE!</v>
      </c>
      <c r="R60" s="256" t="e">
        <f>DATE(YEAR(R50+1),IF((25-MOD(11*MOD(YEAR(R50+1),19)+4-INT((7*MOD(YEAR(R50+1),19)+1)/19),29)-MOD(YEAR(R50+1)-1900+INT((YEAR(R50+1)-1900)/4)+31-MOD(11*MOD(YEAR(R50+1),19)+4-INT((7*MOD(YEAR(R50+1),19)+1)/19),29),7))&lt;=0,3,4),IF(25-MOD(11*MOD(YEAR(R50+1),19)+4-INT((7*MOD(YEAR(R50+1),19)+1)/19),29)-MOD(YEAR(R50+1)-1900+INT((YEAR(R50+1)-1900)/4)+31-MOD(11*MOD(YEAR(R50+1),19)+4-INT((7*MOD(YEAR(R50+1),19)+1)/19),29),7)&lt;=0,25-MOD(11*MOD(YEAR(R50+1),19)+4-INT((7*MOD(YEAR(R50+1),19)+1)/19),29)-MOD(YEAR(R50+1)-1900+INT((YEAR(R50+1)-1900)/4)+31-MOD(11*MOD(YEAR(R50+1),19)+4-INT((7*MOD(YEAR(R50+1),19)+1)/19),29),7)+31,25-MOD(11*MOD(YEAR(R50+1),19)+4-INT((7*MOD(YEAR(R50+1),19)+1)/19),29)-MOD(YEAR(R50+1)-1900+INT((YEAR(R50+1)-1900)/4)+31-MOD(11*MOD(YEAR(R50+1),19)+4-INT((7*MOD(YEAR(R50+1),19)+1)/19),29),7)))</f>
        <v>#VALUE!</v>
      </c>
      <c r="S60" s="256" t="e">
        <f>DATE(YEAR(R50+2),IF((25-MOD(11*MOD(YEAR(R50+2),19)+4-INT((7*MOD(YEAR(R50+2),19)+1)/19),29)-MOD(YEAR(R50+2)-1900+INT((YEAR(R50+2)-1900)/4)+31-MOD(11*MOD(YEAR(R50+2),19)+4-INT((7*MOD(YEAR(R50+2),19)+1)/19),29),7))&lt;=0,3,4),IF(25-MOD(11*MOD(YEAR(R50+2),19)+4-INT((7*MOD(YEAR(R50+2),19)+1)/19),29)-MOD(YEAR(R50+2)-1900+INT((YEAR(R50+2)-1900)/4)+31-MOD(11*MOD(YEAR(R50+2),19)+4-INT((7*MOD(YEAR(R50+2),19)+1)/19),29),7)&lt;=0,25-MOD(11*MOD(YEAR(R50+2),19)+4-INT((7*MOD(YEAR(R50+2),19)+1)/19),29)-MOD(YEAR(R50+2)-1900+INT((YEAR(R50+2)-1900)/4)+31-MOD(11*MOD(YEAR(R50+2),19)+4-INT((7*MOD(YEAR(R50+2),19)+1)/19),29),7)+31,25-MOD(11*MOD(YEAR(R50+2),19)+4-INT((7*MOD(YEAR(R50+2),19)+1)/19),29)-MOD(YEAR(R50+2)-1900+INT((YEAR(R50+2)-1900)/4)+31-MOD(11*MOD(YEAR(R50+2),19)+4-INT((7*MOD(YEAR(R50+2),19)+1)/19),29),7)))</f>
        <v>#VALUE!</v>
      </c>
      <c r="T60" s="256">
        <f>DATE(YEAR(U50),IF((25-MOD(11*MOD(YEAR(U50),19)+4-INT((7*MOD(YEAR(U50),19)+1)/19),29)-MOD(YEAR(U50)-1900+INT((YEAR(U50)-1900)/4)+31-MOD(11*MOD(YEAR(U50),19)+4-INT((7*MOD(YEAR(U50),19)+1)/19),29),7))&lt;=0,3,4),IF(25-MOD(11*MOD(YEAR(U50),19)+4-INT((7*MOD(YEAR(U50),19)+1)/19),29)-MOD(YEAR(U50)-1900+INT((YEAR(U50)-1900)/4)+31-MOD(11*MOD(YEAR(U50),19)+4-INT((7*MOD(YEAR(U50),19)+1)/19),29),7)&lt;=0,25-MOD(11*MOD(YEAR(U50),19)+4-INT((7*MOD(YEAR(U50),19)+1)/19),29)-MOD(YEAR(U50)-1900+INT((YEAR(U50)-1900)/4)+31-MOD(11*MOD(YEAR(U50),19)+4-INT((7*MOD(YEAR(U50),19)+1)/19),29),7)+31,25-MOD(11*MOD(YEAR(U50),19)+4-INT((7*MOD(YEAR(U50),19)+1)/19),29)-MOD(YEAR(U50)-1900+INT((YEAR(U50)-1900)/4)+31-MOD(11*MOD(YEAR(U50),19)+4-INT((7*MOD(YEAR(U50),19)+1)/19),29),7)))</f>
        <v>106</v>
      </c>
      <c r="U60" s="256">
        <f>DATE(YEAR(U50+1),IF((25-MOD(11*MOD(YEAR(U50+1),19)+4-INT((7*MOD(YEAR(U50+1),19)+1)/19),29)-MOD(YEAR(U50+1)-1900+INT((YEAR(U50+1)-1900)/4)+31-MOD(11*MOD(YEAR(U50+1),19)+4-INT((7*MOD(YEAR(U50+1),19)+1)/19),29),7))&lt;=0,3,4),IF(25-MOD(11*MOD(YEAR(U50+1),19)+4-INT((7*MOD(YEAR(U50+1),19)+1)/19),29)-MOD(YEAR(U50+1)-1900+INT((YEAR(U50+1)-1900)/4)+31-MOD(11*MOD(YEAR(U50+1),19)+4-INT((7*MOD(YEAR(U50+1),19)+1)/19),29),7)&lt;=0,25-MOD(11*MOD(YEAR(U50+1),19)+4-INT((7*MOD(YEAR(U50+1),19)+1)/19),29)-MOD(YEAR(U50+1)-1900+INT((YEAR(U50+1)-1900)/4)+31-MOD(11*MOD(YEAR(U50+1),19)+4-INT((7*MOD(YEAR(U50+1),19)+1)/19),29),7)+31,25-MOD(11*MOD(YEAR(U50+1),19)+4-INT((7*MOD(YEAR(U50+1),19)+1)/19),29)-MOD(YEAR(U50+1)-1900+INT((YEAR(U50+1)-1900)/4)+31-MOD(11*MOD(YEAR(U50+1),19)+4-INT((7*MOD(YEAR(U50+1),19)+1)/19),29),7)))</f>
        <v>106</v>
      </c>
      <c r="V60" s="256">
        <f>DATE(YEAR(U50+2),IF((25-MOD(11*MOD(YEAR(U50+2),19)+4-INT((7*MOD(YEAR(U50+2),19)+1)/19),29)-MOD(YEAR(U50+2)-1900+INT((YEAR(U50+2)-1900)/4)+31-MOD(11*MOD(YEAR(U50+2),19)+4-INT((7*MOD(YEAR(U50+2),19)+1)/19),29),7))&lt;=0,3,4),IF(25-MOD(11*MOD(YEAR(U50+2),19)+4-INT((7*MOD(YEAR(U50+2),19)+1)/19),29)-MOD(YEAR(U50+2)-1900+INT((YEAR(U50+2)-1900)/4)+31-MOD(11*MOD(YEAR(U50+2),19)+4-INT((7*MOD(YEAR(U50+2),19)+1)/19),29),7)&lt;=0,25-MOD(11*MOD(YEAR(U50+2),19)+4-INT((7*MOD(YEAR(U50+2),19)+1)/19),29)-MOD(YEAR(U50+2)-1900+INT((YEAR(U50+2)-1900)/4)+31-MOD(11*MOD(YEAR(U50+2),19)+4-INT((7*MOD(YEAR(U50+2),19)+1)/19),29),7)+31,25-MOD(11*MOD(YEAR(U50+2),19)+4-INT((7*MOD(YEAR(U50+2),19)+1)/19),29)-MOD(YEAR(U50+2)-1900+INT((YEAR(U50+2)-1900)/4)+31-MOD(11*MOD(YEAR(U50+2),19)+4-INT((7*MOD(YEAR(U50+2),19)+1)/19),29),7)))</f>
        <v>106</v>
      </c>
      <c r="W60" s="256" t="e">
        <f>DATE(YEAR(X50),IF((25-MOD(11*MOD(YEAR(X50),19)+4-INT((7*MOD(YEAR(X50),19)+1)/19),29)-MOD(YEAR(X50)-1900+INT((YEAR(X50)-1900)/4)+31-MOD(11*MOD(YEAR(X50),19)+4-INT((7*MOD(YEAR(X50),19)+1)/19),29),7))&lt;=0,3,4),IF(25-MOD(11*MOD(YEAR(X50),19)+4-INT((7*MOD(YEAR(X50),19)+1)/19),29)-MOD(YEAR(X50)-1900+INT((YEAR(X50)-1900)/4)+31-MOD(11*MOD(YEAR(X50),19)+4-INT((7*MOD(YEAR(X50),19)+1)/19),29),7)&lt;=0,25-MOD(11*MOD(YEAR(X50),19)+4-INT((7*MOD(YEAR(X50),19)+1)/19),29)-MOD(YEAR(X50)-1900+INT((YEAR(X50)-1900)/4)+31-MOD(11*MOD(YEAR(X50),19)+4-INT((7*MOD(YEAR(X50),19)+1)/19),29),7)+31,25-MOD(11*MOD(YEAR(X50),19)+4-INT((7*MOD(YEAR(X50),19)+1)/19),29)-MOD(YEAR(X50)-1900+INT((YEAR(X50)-1900)/4)+31-MOD(11*MOD(YEAR(X50),19)+4-INT((7*MOD(YEAR(X50),19)+1)/19),29),7)))</f>
        <v>#VALUE!</v>
      </c>
      <c r="X60" s="256" t="e">
        <f>DATE(YEAR(X50+1),IF((25-MOD(11*MOD(YEAR(X50+1),19)+4-INT((7*MOD(YEAR(X50+1),19)+1)/19),29)-MOD(YEAR(X50+1)-1900+INT((YEAR(X50+1)-1900)/4)+31-MOD(11*MOD(YEAR(X50+1),19)+4-INT((7*MOD(YEAR(X50+1),19)+1)/19),29),7))&lt;=0,3,4),IF(25-MOD(11*MOD(YEAR(X50+1),19)+4-INT((7*MOD(YEAR(X50+1),19)+1)/19),29)-MOD(YEAR(X50+1)-1900+INT((YEAR(X50+1)-1900)/4)+31-MOD(11*MOD(YEAR(X50+1),19)+4-INT((7*MOD(YEAR(X50+1),19)+1)/19),29),7)&lt;=0,25-MOD(11*MOD(YEAR(X50+1),19)+4-INT((7*MOD(YEAR(X50+1),19)+1)/19),29)-MOD(YEAR(X50+1)-1900+INT((YEAR(X50+1)-1900)/4)+31-MOD(11*MOD(YEAR(X50+1),19)+4-INT((7*MOD(YEAR(X50+1),19)+1)/19),29),7)+31,25-MOD(11*MOD(YEAR(X50+1),19)+4-INT((7*MOD(YEAR(X50+1),19)+1)/19),29)-MOD(YEAR(X50+1)-1900+INT((YEAR(X50+1)-1900)/4)+31-MOD(11*MOD(YEAR(X50+1),19)+4-INT((7*MOD(YEAR(X50+1),19)+1)/19),29),7)))</f>
        <v>#VALUE!</v>
      </c>
      <c r="Y60" s="256" t="e">
        <f>DATE(YEAR(X50+2),IF((25-MOD(11*MOD(YEAR(X50+2),19)+4-INT((7*MOD(YEAR(X50+2),19)+1)/19),29)-MOD(YEAR(X50+2)-1900+INT((YEAR(X50+2)-1900)/4)+31-MOD(11*MOD(YEAR(X50+2),19)+4-INT((7*MOD(YEAR(X50+2),19)+1)/19),29),7))&lt;=0,3,4),IF(25-MOD(11*MOD(YEAR(X50+2),19)+4-INT((7*MOD(YEAR(X50+2),19)+1)/19),29)-MOD(YEAR(X50+2)-1900+INT((YEAR(X50+2)-1900)/4)+31-MOD(11*MOD(YEAR(X50+2),19)+4-INT((7*MOD(YEAR(X50+2),19)+1)/19),29),7)&lt;=0,25-MOD(11*MOD(YEAR(X50+2),19)+4-INT((7*MOD(YEAR(X50+2),19)+1)/19),29)-MOD(YEAR(X50+2)-1900+INT((YEAR(X50+2)-1900)/4)+31-MOD(11*MOD(YEAR(X50+2),19)+4-INT((7*MOD(YEAR(X50+2),19)+1)/19),29),7)+31,25-MOD(11*MOD(YEAR(X50+2),19)+4-INT((7*MOD(YEAR(X50+2),19)+1)/19),29)-MOD(YEAR(X50+2)-1900+INT((YEAR(X50+2)-1900)/4)+31-MOD(11*MOD(YEAR(X50+2),19)+4-INT((7*MOD(YEAR(X50+2),19)+1)/19),29),7)))</f>
        <v>#VALUE!</v>
      </c>
      <c r="Z60" s="256" t="e">
        <f ca="1">DATE(YEAR(AA50),IF((25-MOD(11*MOD(YEAR(AA50),19)+4-INT((7*MOD(YEAR(AA50),19)+1)/19),29)-MOD(YEAR(AA50)-1900+INT((YEAR(AA50)-1900)/4)+31-MOD(11*MOD(YEAR(AA50),19)+4-INT((7*MOD(YEAR(AA50),19)+1)/19),29),7))&lt;=0,3,4),IF(25-MOD(11*MOD(YEAR(AA50),19)+4-INT((7*MOD(YEAR(AA50),19)+1)/19),29)-MOD(YEAR(AA50)-1900+INT((YEAR(AA50)-1900)/4)+31-MOD(11*MOD(YEAR(AA50),19)+4-INT((7*MOD(YEAR(AA50),19)+1)/19),29),7)&lt;=0,25-MOD(11*MOD(YEAR(AA50),19)+4-INT((7*MOD(YEAR(AA50),19)+1)/19),29)-MOD(YEAR(AA50)-1900+INT((YEAR(AA50)-1900)/4)+31-MOD(11*MOD(YEAR(AA50),19)+4-INT((7*MOD(YEAR(AA50),19)+1)/19),29),7)+31,25-MOD(11*MOD(YEAR(AA50),19)+4-INT((7*MOD(YEAR(AA50),19)+1)/19),29)-MOD(YEAR(AA50)-1900+INT((YEAR(AA50)-1900)/4)+31-MOD(11*MOD(YEAR(AA50),19)+4-INT((7*MOD(YEAR(AA50),19)+1)/19),29),7)))</f>
        <v>#VALUE!</v>
      </c>
      <c r="AA60" s="256" t="e">
        <f ca="1">DATE(YEAR(AA50+1),IF((25-MOD(11*MOD(YEAR(AA50+1),19)+4-INT((7*MOD(YEAR(AA50+1),19)+1)/19),29)-MOD(YEAR(AA50+1)-1900+INT((YEAR(AA50+1)-1900)/4)+31-MOD(11*MOD(YEAR(AA50+1),19)+4-INT((7*MOD(YEAR(AA50+1),19)+1)/19),29),7))&lt;=0,3,4),IF(25-MOD(11*MOD(YEAR(AA50+1),19)+4-INT((7*MOD(YEAR(AA50+1),19)+1)/19),29)-MOD(YEAR(AA50+1)-1900+INT((YEAR(AA50+1)-1900)/4)+31-MOD(11*MOD(YEAR(AA50+1),19)+4-INT((7*MOD(YEAR(AA50+1),19)+1)/19),29),7)&lt;=0,25-MOD(11*MOD(YEAR(AA50+1),19)+4-INT((7*MOD(YEAR(AA50+1),19)+1)/19),29)-MOD(YEAR(AA50+1)-1900+INT((YEAR(AA50+1)-1900)/4)+31-MOD(11*MOD(YEAR(AA50+1),19)+4-INT((7*MOD(YEAR(AA50+1),19)+1)/19),29),7)+31,25-MOD(11*MOD(YEAR(AA50+1),19)+4-INT((7*MOD(YEAR(AA50+1),19)+1)/19),29)-MOD(YEAR(AA50+1)-1900+INT((YEAR(AA50+1)-1900)/4)+31-MOD(11*MOD(YEAR(AA50+1),19)+4-INT((7*MOD(YEAR(AA50+1),19)+1)/19),29),7)))</f>
        <v>#VALUE!</v>
      </c>
      <c r="AB60" s="256" t="e">
        <f ca="1">DATE(YEAR(AA50+2),IF((25-MOD(11*MOD(YEAR(AA50+2),19)+4-INT((7*MOD(YEAR(AA50+2),19)+1)/19),29)-MOD(YEAR(AA50+2)-1900+INT((YEAR(AA50+2)-1900)/4)+31-MOD(11*MOD(YEAR(AA50+2),19)+4-INT((7*MOD(YEAR(AA50+2),19)+1)/19),29),7))&lt;=0,3,4),IF(25-MOD(11*MOD(YEAR(AA50+2),19)+4-INT((7*MOD(YEAR(AA50+2),19)+1)/19),29)-MOD(YEAR(AA50+2)-1900+INT((YEAR(AA50+2)-1900)/4)+31-MOD(11*MOD(YEAR(AA50+2),19)+4-INT((7*MOD(YEAR(AA50+2),19)+1)/19),29),7)&lt;=0,25-MOD(11*MOD(YEAR(AA50+2),19)+4-INT((7*MOD(YEAR(AA50+2),19)+1)/19),29)-MOD(YEAR(AA50+2)-1900+INT((YEAR(AA50+2)-1900)/4)+31-MOD(11*MOD(YEAR(AA50+2),19)+4-INT((7*MOD(YEAR(AA50+2),19)+1)/19),29),7)+31,25-MOD(11*MOD(YEAR(AA50+2),19)+4-INT((7*MOD(YEAR(AA50+2),19)+1)/19),29)-MOD(YEAR(AA50+2)-1900+INT((YEAR(AA50+2)-1900)/4)+31-MOD(11*MOD(YEAR(AA50+2),19)+4-INT((7*MOD(YEAR(AA50+2),19)+1)/19),29),7)))</f>
        <v>#VALUE!</v>
      </c>
      <c r="AC60" s="256" t="e">
        <f ca="1">DATE(YEAR(AD50),IF((25-MOD(11*MOD(YEAR(AD50),19)+4-INT((7*MOD(YEAR(AD50),19)+1)/19),29)-MOD(YEAR(AD50)-1900+INT((YEAR(AD50)-1900)/4)+31-MOD(11*MOD(YEAR(AD50),19)+4-INT((7*MOD(YEAR(AD50),19)+1)/19),29),7))&lt;=0,3,4),IF(25-MOD(11*MOD(YEAR(AD50),19)+4-INT((7*MOD(YEAR(AD50),19)+1)/19),29)-MOD(YEAR(AD50)-1900+INT((YEAR(AD50)-1900)/4)+31-MOD(11*MOD(YEAR(AD50),19)+4-INT((7*MOD(YEAR(AD50),19)+1)/19),29),7)&lt;=0,25-MOD(11*MOD(YEAR(AD50),19)+4-INT((7*MOD(YEAR(AD50),19)+1)/19),29)-MOD(YEAR(AD50)-1900+INT((YEAR(AD50)-1900)/4)+31-MOD(11*MOD(YEAR(AD50),19)+4-INT((7*MOD(YEAR(AD50),19)+1)/19),29),7)+31,25-MOD(11*MOD(YEAR(AD50),19)+4-INT((7*MOD(YEAR(AD50),19)+1)/19),29)-MOD(YEAR(AD50)-1900+INT((YEAR(AD50)-1900)/4)+31-MOD(11*MOD(YEAR(AD50),19)+4-INT((7*MOD(YEAR(AD50),19)+1)/19),29),7)))</f>
        <v>#VALUE!</v>
      </c>
      <c r="AD60" s="256" t="e">
        <f ca="1">DATE(YEAR(AD50+1),IF((25-MOD(11*MOD(YEAR(AD50+1),19)+4-INT((7*MOD(YEAR(AD50+1),19)+1)/19),29)-MOD(YEAR(AD50+1)-1900+INT((YEAR(AD50+1)-1900)/4)+31-MOD(11*MOD(YEAR(AD50+1),19)+4-INT((7*MOD(YEAR(AD50+1),19)+1)/19),29),7))&lt;=0,3,4),IF(25-MOD(11*MOD(YEAR(AD50+1),19)+4-INT((7*MOD(YEAR(AD50+1),19)+1)/19),29)-MOD(YEAR(AD50+1)-1900+INT((YEAR(AD50+1)-1900)/4)+31-MOD(11*MOD(YEAR(AD50+1),19)+4-INT((7*MOD(YEAR(AD50+1),19)+1)/19),29),7)&lt;=0,25-MOD(11*MOD(YEAR(AD50+1),19)+4-INT((7*MOD(YEAR(AD50+1),19)+1)/19),29)-MOD(YEAR(AD50+1)-1900+INT((YEAR(AD50+1)-1900)/4)+31-MOD(11*MOD(YEAR(AD50+1),19)+4-INT((7*MOD(YEAR(AD50+1),19)+1)/19),29),7)+31,25-MOD(11*MOD(YEAR(AD50+1),19)+4-INT((7*MOD(YEAR(AD50+1),19)+1)/19),29)-MOD(YEAR(AD50+1)-1900+INT((YEAR(AD50+1)-1900)/4)+31-MOD(11*MOD(YEAR(AD50+1),19)+4-INT((7*MOD(YEAR(AD50+1),19)+1)/19),29),7)))</f>
        <v>#VALUE!</v>
      </c>
      <c r="AE60" s="256" t="e">
        <f ca="1">DATE(YEAR(AD50+2),IF((25-MOD(11*MOD(YEAR(AD50+2),19)+4-INT((7*MOD(YEAR(AD50+2),19)+1)/19),29)-MOD(YEAR(AD50+2)-1900+INT((YEAR(AD50+2)-1900)/4)+31-MOD(11*MOD(YEAR(AD50+2),19)+4-INT((7*MOD(YEAR(AD50+2),19)+1)/19),29),7))&lt;=0,3,4),IF(25-MOD(11*MOD(YEAR(AD50+2),19)+4-INT((7*MOD(YEAR(AD50+2),19)+1)/19),29)-MOD(YEAR(AD50+2)-1900+INT((YEAR(AD50+2)-1900)/4)+31-MOD(11*MOD(YEAR(AD50+2),19)+4-INT((7*MOD(YEAR(AD50+2),19)+1)/19),29),7)&lt;=0,25-MOD(11*MOD(YEAR(AD50+2),19)+4-INT((7*MOD(YEAR(AD50+2),19)+1)/19),29)-MOD(YEAR(AD50+2)-1900+INT((YEAR(AD50+2)-1900)/4)+31-MOD(11*MOD(YEAR(AD50+2),19)+4-INT((7*MOD(YEAR(AD50+2),19)+1)/19),29),7)+31,25-MOD(11*MOD(YEAR(AD50+2),19)+4-INT((7*MOD(YEAR(AD50+2),19)+1)/19),29)-MOD(YEAR(AD50+2)-1900+INT((YEAR(AD50+2)-1900)/4)+31-MOD(11*MOD(YEAR(AD50+2),19)+4-INT((7*MOD(YEAR(AD50+2),19)+1)/19),29),7)))</f>
        <v>#VALUE!</v>
      </c>
      <c r="AF60" s="256" t="e">
        <f ca="1">DATE(YEAR(AG50),IF((25-MOD(11*MOD(YEAR(AG50),19)+4-INT((7*MOD(YEAR(AG50),19)+1)/19),29)-MOD(YEAR(AG50)-1900+INT((YEAR(AG50)-1900)/4)+31-MOD(11*MOD(YEAR(AG50),19)+4-INT((7*MOD(YEAR(AG50),19)+1)/19),29),7))&lt;=0,3,4),IF(25-MOD(11*MOD(YEAR(AG50),19)+4-INT((7*MOD(YEAR(AG50),19)+1)/19),29)-MOD(YEAR(AG50)-1900+INT((YEAR(AG50)-1900)/4)+31-MOD(11*MOD(YEAR(AG50),19)+4-INT((7*MOD(YEAR(AG50),19)+1)/19),29),7)&lt;=0,25-MOD(11*MOD(YEAR(AG50),19)+4-INT((7*MOD(YEAR(AG50),19)+1)/19),29)-MOD(YEAR(AG50)-1900+INT((YEAR(AG50)-1900)/4)+31-MOD(11*MOD(YEAR(AG50),19)+4-INT((7*MOD(YEAR(AG50),19)+1)/19),29),7)+31,25-MOD(11*MOD(YEAR(AG50),19)+4-INT((7*MOD(YEAR(AG50),19)+1)/19),29)-MOD(YEAR(AG50)-1900+INT((YEAR(AG50)-1900)/4)+31-MOD(11*MOD(YEAR(AG50),19)+4-INT((7*MOD(YEAR(AG50),19)+1)/19),29),7)))</f>
        <v>#VALUE!</v>
      </c>
      <c r="AG60" s="256" t="e">
        <f ca="1">DATE(YEAR(AG50+1),IF((25-MOD(11*MOD(YEAR(AG50+1),19)+4-INT((7*MOD(YEAR(AG50+1),19)+1)/19),29)-MOD(YEAR(AG50+1)-1900+INT((YEAR(AG50+1)-1900)/4)+31-MOD(11*MOD(YEAR(AG50+1),19)+4-INT((7*MOD(YEAR(AG50+1),19)+1)/19),29),7))&lt;=0,3,4),IF(25-MOD(11*MOD(YEAR(AG50+1),19)+4-INT((7*MOD(YEAR(AG50+1),19)+1)/19),29)-MOD(YEAR(AG50+1)-1900+INT((YEAR(AG50+1)-1900)/4)+31-MOD(11*MOD(YEAR(AG50+1),19)+4-INT((7*MOD(YEAR(AG50+1),19)+1)/19),29),7)&lt;=0,25-MOD(11*MOD(YEAR(AG50+1),19)+4-INT((7*MOD(YEAR(AG50+1),19)+1)/19),29)-MOD(YEAR(AG50+1)-1900+INT((YEAR(AG50+1)-1900)/4)+31-MOD(11*MOD(YEAR(AG50+1),19)+4-INT((7*MOD(YEAR(AG50+1),19)+1)/19),29),7)+31,25-MOD(11*MOD(YEAR(AG50+1),19)+4-INT((7*MOD(YEAR(AG50+1),19)+1)/19),29)-MOD(YEAR(AG50+1)-1900+INT((YEAR(AG50+1)-1900)/4)+31-MOD(11*MOD(YEAR(AG50+1),19)+4-INT((7*MOD(YEAR(AG50+1),19)+1)/19),29),7)))</f>
        <v>#VALUE!</v>
      </c>
      <c r="AH60" s="256" t="e">
        <f ca="1">DATE(YEAR(AG50+2),IF((25-MOD(11*MOD(YEAR(AG50+2),19)+4-INT((7*MOD(YEAR(AG50+2),19)+1)/19),29)-MOD(YEAR(AG50+2)-1900+INT((YEAR(AG50+2)-1900)/4)+31-MOD(11*MOD(YEAR(AG50+2),19)+4-INT((7*MOD(YEAR(AG50+2),19)+1)/19),29),7))&lt;=0,3,4),IF(25-MOD(11*MOD(YEAR(AG50+2),19)+4-INT((7*MOD(YEAR(AG50+2),19)+1)/19),29)-MOD(YEAR(AG50+2)-1900+INT((YEAR(AG50+2)-1900)/4)+31-MOD(11*MOD(YEAR(AG50+2),19)+4-INT((7*MOD(YEAR(AG50+2),19)+1)/19),29),7)&lt;=0,25-MOD(11*MOD(YEAR(AG50+2),19)+4-INT((7*MOD(YEAR(AG50+2),19)+1)/19),29)-MOD(YEAR(AG50+2)-1900+INT((YEAR(AG50+2)-1900)/4)+31-MOD(11*MOD(YEAR(AG50+2),19)+4-INT((7*MOD(YEAR(AG50+2),19)+1)/19),29),7)+31,25-MOD(11*MOD(YEAR(AG50+2),19)+4-INT((7*MOD(YEAR(AG50+2),19)+1)/19),29)-MOD(YEAR(AG50+2)-1900+INT((YEAR(AG50+2)-1900)/4)+31-MOD(11*MOD(YEAR(AG50+2),19)+4-INT((7*MOD(YEAR(AG50+2),19)+1)/19),29),7)))</f>
        <v>#VALUE!</v>
      </c>
    </row>
    <row r="61" spans="1:34" ht="15" customHeight="1">
      <c r="A61" s="363"/>
      <c r="B61" s="364"/>
      <c r="C61" s="74"/>
      <c r="D61" s="190" t="str">
        <f t="shared" si="63"/>
        <v/>
      </c>
      <c r="E61" s="191" t="str">
        <f>IF(AND(B22&lt;&gt;"",C61&lt;&gt;""),AU6+AU22,"")</f>
        <v/>
      </c>
      <c r="F61" s="138"/>
      <c r="G61" s="75" t="str">
        <f t="shared" ca="1" si="64"/>
        <v/>
      </c>
      <c r="L61" s="154"/>
      <c r="M61" s="135"/>
      <c r="P61" t="s">
        <v>46</v>
      </c>
      <c r="Q61" s="204" t="e">
        <f>Q60+1</f>
        <v>#VALUE!</v>
      </c>
      <c r="R61" s="257" t="e">
        <f>R60+1</f>
        <v>#VALUE!</v>
      </c>
      <c r="S61" s="25" t="e">
        <f t="shared" ref="S61:AE61" si="65">S60+1</f>
        <v>#VALUE!</v>
      </c>
      <c r="T61" s="204">
        <f t="shared" si="65"/>
        <v>107</v>
      </c>
      <c r="U61" s="257">
        <f t="shared" si="65"/>
        <v>107</v>
      </c>
      <c r="V61" s="25">
        <f t="shared" si="65"/>
        <v>107</v>
      </c>
      <c r="W61" s="204" t="e">
        <f t="shared" si="65"/>
        <v>#VALUE!</v>
      </c>
      <c r="X61" s="257" t="e">
        <f t="shared" si="65"/>
        <v>#VALUE!</v>
      </c>
      <c r="Y61" s="25" t="e">
        <f t="shared" si="65"/>
        <v>#VALUE!</v>
      </c>
      <c r="Z61" s="204" t="e">
        <f t="shared" ca="1" si="65"/>
        <v>#VALUE!</v>
      </c>
      <c r="AA61" s="257" t="e">
        <f t="shared" ca="1" si="65"/>
        <v>#VALUE!</v>
      </c>
      <c r="AB61" s="25" t="e">
        <f t="shared" ca="1" si="65"/>
        <v>#VALUE!</v>
      </c>
      <c r="AC61" s="204" t="e">
        <f t="shared" ca="1" si="65"/>
        <v>#VALUE!</v>
      </c>
      <c r="AD61" s="257" t="e">
        <f t="shared" ca="1" si="65"/>
        <v>#VALUE!</v>
      </c>
      <c r="AE61" s="25" t="e">
        <f t="shared" ca="1" si="65"/>
        <v>#VALUE!</v>
      </c>
      <c r="AF61" s="204" t="e">
        <f ca="1">AF60+1</f>
        <v>#VALUE!</v>
      </c>
      <c r="AG61" s="257" t="e">
        <f ca="1">AG60+1</f>
        <v>#VALUE!</v>
      </c>
      <c r="AH61" s="25" t="e">
        <f ca="1">AH60+1</f>
        <v>#VALUE!</v>
      </c>
    </row>
    <row r="62" spans="1:34" ht="15" customHeight="1">
      <c r="A62" s="363"/>
      <c r="B62" s="364"/>
      <c r="C62" s="74"/>
      <c r="D62" s="190" t="str">
        <f t="shared" si="63"/>
        <v/>
      </c>
      <c r="E62" s="191" t="str">
        <f>IF(AND(B22&lt;&gt;"",C62&lt;&gt;""),AX6+AX22,"")</f>
        <v/>
      </c>
      <c r="F62" s="138"/>
      <c r="G62" s="75" t="str">
        <f t="shared" ca="1" si="64"/>
        <v/>
      </c>
      <c r="L62" s="154"/>
      <c r="M62" s="135"/>
      <c r="P62" t="s">
        <v>49</v>
      </c>
      <c r="Q62" s="204" t="e">
        <f>Q60+39</f>
        <v>#VALUE!</v>
      </c>
      <c r="R62" s="257" t="e">
        <f t="shared" ref="R62:AE62" si="66">R60+39</f>
        <v>#VALUE!</v>
      </c>
      <c r="S62" s="25" t="e">
        <f t="shared" si="66"/>
        <v>#VALUE!</v>
      </c>
      <c r="T62" s="204">
        <f t="shared" si="66"/>
        <v>145</v>
      </c>
      <c r="U62" s="257">
        <f t="shared" si="66"/>
        <v>145</v>
      </c>
      <c r="V62" s="25">
        <f t="shared" si="66"/>
        <v>145</v>
      </c>
      <c r="W62" s="204" t="e">
        <f t="shared" si="66"/>
        <v>#VALUE!</v>
      </c>
      <c r="X62" s="257" t="e">
        <f t="shared" si="66"/>
        <v>#VALUE!</v>
      </c>
      <c r="Y62" s="25" t="e">
        <f t="shared" si="66"/>
        <v>#VALUE!</v>
      </c>
      <c r="Z62" s="204" t="e">
        <f t="shared" ca="1" si="66"/>
        <v>#VALUE!</v>
      </c>
      <c r="AA62" s="257" t="e">
        <f t="shared" ca="1" si="66"/>
        <v>#VALUE!</v>
      </c>
      <c r="AB62" s="25" t="e">
        <f t="shared" ca="1" si="66"/>
        <v>#VALUE!</v>
      </c>
      <c r="AC62" s="204" t="e">
        <f t="shared" ca="1" si="66"/>
        <v>#VALUE!</v>
      </c>
      <c r="AD62" s="257" t="e">
        <f t="shared" ca="1" si="66"/>
        <v>#VALUE!</v>
      </c>
      <c r="AE62" s="25" t="e">
        <f t="shared" ca="1" si="66"/>
        <v>#VALUE!</v>
      </c>
      <c r="AF62" s="204" t="e">
        <f ca="1">AF60+39</f>
        <v>#VALUE!</v>
      </c>
      <c r="AG62" s="257" t="e">
        <f ca="1">AG60+39</f>
        <v>#VALUE!</v>
      </c>
      <c r="AH62" s="25" t="e">
        <f ca="1">AH60+39</f>
        <v>#VALUE!</v>
      </c>
    </row>
    <row r="63" spans="1:34" ht="15" customHeight="1">
      <c r="A63" s="363"/>
      <c r="B63" s="364"/>
      <c r="C63" s="74"/>
      <c r="D63" s="190" t="str">
        <f t="shared" si="63"/>
        <v/>
      </c>
      <c r="E63" s="191" t="str">
        <f>IF(AND(B22&lt;&gt;"",C63&lt;&gt;""),BA6+BA22,"")</f>
        <v/>
      </c>
      <c r="F63" s="138"/>
      <c r="G63" s="75" t="str">
        <f t="shared" ca="1" si="64"/>
        <v/>
      </c>
      <c r="L63" s="154"/>
      <c r="M63" s="135"/>
      <c r="P63" t="s">
        <v>53</v>
      </c>
      <c r="Q63" s="204" t="e">
        <f>Q60+50</f>
        <v>#VALUE!</v>
      </c>
      <c r="R63" s="257" t="e">
        <f t="shared" ref="R63:AE63" si="67">R60+50</f>
        <v>#VALUE!</v>
      </c>
      <c r="S63" s="25" t="e">
        <f t="shared" si="67"/>
        <v>#VALUE!</v>
      </c>
      <c r="T63" s="204">
        <f t="shared" si="67"/>
        <v>156</v>
      </c>
      <c r="U63" s="257">
        <f t="shared" si="67"/>
        <v>156</v>
      </c>
      <c r="V63" s="25">
        <f t="shared" si="67"/>
        <v>156</v>
      </c>
      <c r="W63" s="204" t="e">
        <f t="shared" si="67"/>
        <v>#VALUE!</v>
      </c>
      <c r="X63" s="257" t="e">
        <f t="shared" si="67"/>
        <v>#VALUE!</v>
      </c>
      <c r="Y63" s="25" t="e">
        <f t="shared" si="67"/>
        <v>#VALUE!</v>
      </c>
      <c r="Z63" s="204" t="e">
        <f t="shared" ca="1" si="67"/>
        <v>#VALUE!</v>
      </c>
      <c r="AA63" s="257" t="e">
        <f t="shared" ca="1" si="67"/>
        <v>#VALUE!</v>
      </c>
      <c r="AB63" s="25" t="e">
        <f t="shared" ca="1" si="67"/>
        <v>#VALUE!</v>
      </c>
      <c r="AC63" s="204" t="e">
        <f t="shared" ca="1" si="67"/>
        <v>#VALUE!</v>
      </c>
      <c r="AD63" s="257" t="e">
        <f t="shared" ca="1" si="67"/>
        <v>#VALUE!</v>
      </c>
      <c r="AE63" s="25" t="e">
        <f t="shared" ca="1" si="67"/>
        <v>#VALUE!</v>
      </c>
      <c r="AF63" s="204" t="e">
        <f ca="1">AF60+50</f>
        <v>#VALUE!</v>
      </c>
      <c r="AG63" s="257" t="e">
        <f ca="1">AG60+50</f>
        <v>#VALUE!</v>
      </c>
      <c r="AH63" s="25" t="e">
        <f ca="1">AH60+50</f>
        <v>#VALUE!</v>
      </c>
    </row>
    <row r="64" spans="1:34" ht="15" customHeight="1">
      <c r="A64" s="363"/>
      <c r="B64" s="364"/>
      <c r="C64" s="74"/>
      <c r="D64" s="190" t="str">
        <f t="shared" si="63"/>
        <v/>
      </c>
      <c r="E64" s="191" t="str">
        <f>IF(AND(B22&lt;&gt;"",C64&lt;&gt;""),BD6+BD22,"")</f>
        <v/>
      </c>
      <c r="F64" s="138"/>
      <c r="G64" s="75" t="str">
        <f t="shared" ca="1" si="64"/>
        <v/>
      </c>
      <c r="L64" s="154"/>
      <c r="M64" s="135"/>
      <c r="P64" s="47" t="s">
        <v>35</v>
      </c>
      <c r="Q64" s="184" t="e">
        <f>IF(R50&lt;&gt;Q61,IF(R50&lt;&gt;Q62,IF(R50&lt;&gt;Q63,0,1),1),1)</f>
        <v>#VALUE!</v>
      </c>
      <c r="R64" s="70" t="e">
        <f>IF(R50+1&lt;&gt;R61,IF(R50+1&lt;&gt;R62,IF(R50+1&lt;&gt;R63,0,1),1),1)</f>
        <v>#VALUE!</v>
      </c>
      <c r="S64" s="70" t="e">
        <f>IF(R50+2&lt;&gt;S61,IF(R50+2&lt;&gt;S62,IF(R50+2&lt;&gt;S63,0,1),1),1)</f>
        <v>#VALUE!</v>
      </c>
      <c r="T64" s="184">
        <f>IF(U50&lt;&gt;T61,IF(U50&lt;&gt;T62,IF(U50&lt;&gt;T63,0,1),1),1)</f>
        <v>0</v>
      </c>
      <c r="U64" s="70">
        <f>IF(U50+1&lt;&gt;U61,IF(U50+1&lt;&gt;U62,IF(U50+1&lt;&gt;U63,0,1),1),1)</f>
        <v>0</v>
      </c>
      <c r="V64" s="70">
        <f>IF(U50+2&lt;&gt;V61,IF(U50+2&lt;&gt;V62,IF(U50+2&lt;&gt;V63,0,1),1),1)</f>
        <v>0</v>
      </c>
      <c r="W64" s="184" t="e">
        <f>IF(X50&lt;&gt;W61,IF(X50&lt;&gt;W62,IF(X50&lt;&gt;W63,0,1),1),1)</f>
        <v>#VALUE!</v>
      </c>
      <c r="X64" s="70" t="e">
        <f>IF(X50+1&lt;&gt;X61,IF(X50+1&lt;&gt;X62,IF(X50+1&lt;&gt;X63,0,1),1),1)</f>
        <v>#VALUE!</v>
      </c>
      <c r="Y64" s="70" t="e">
        <f>IF(X50+2&lt;&gt;Y61,IF(X50+2&lt;&gt;Y62,IF(X50+2&lt;&gt;Y63,0,1),1),1)</f>
        <v>#VALUE!</v>
      </c>
      <c r="Z64" s="184" t="e">
        <f ca="1">IF(AA50&lt;&gt;Z61,IF(AA50&lt;&gt;Z62,IF(AA50&lt;&gt;Z63,0,1),1),1)</f>
        <v>#VALUE!</v>
      </c>
      <c r="AA64" s="70" t="e">
        <f ca="1">IF(AA50+1&lt;&gt;AA61,IF(AA50+1&lt;&gt;AA62,IF(AA50+1&lt;&gt;AA63,0,1),1),1)</f>
        <v>#VALUE!</v>
      </c>
      <c r="AB64" s="70" t="e">
        <f ca="1">IF(AA50+2&lt;&gt;AB61,IF(AA50+2&lt;&gt;AB62,IF(AA50+2&lt;&gt;AB63,0,1),1),1)</f>
        <v>#VALUE!</v>
      </c>
      <c r="AC64" s="184" t="e">
        <f ca="1">IF(AD50&lt;&gt;AC61,IF(AD50&lt;&gt;AC62,IF(AD50&lt;&gt;AC63,0,1),1),1)</f>
        <v>#VALUE!</v>
      </c>
      <c r="AD64" s="70" t="e">
        <f ca="1">IF(AD50+1&lt;&gt;AD61,IF(AD50+1&lt;&gt;AD62,IF(AD50+1&lt;&gt;AD63,0,1),1),1)</f>
        <v>#VALUE!</v>
      </c>
      <c r="AE64" s="70" t="e">
        <f ca="1">IF(AD50+2&lt;&gt;AE61,IF(AD50+2&lt;&gt;AE62,IF(AD50+2&lt;&gt;AE63,0,1),1),1)</f>
        <v>#VALUE!</v>
      </c>
      <c r="AF64" s="184" t="e">
        <f ca="1">IF(AG50&lt;&gt;AF61,IF(AG50&lt;&gt;AF62,IF(AG50&lt;&gt;AF63,0,1),1),1)</f>
        <v>#VALUE!</v>
      </c>
      <c r="AG64" s="70" t="e">
        <f ca="1">IF(AG50+1&lt;&gt;AG61,IF(AG50+1&lt;&gt;AG62,IF(AG50+1&lt;&gt;AG63,0,1),1),1)</f>
        <v>#VALUE!</v>
      </c>
      <c r="AH64" s="70" t="e">
        <f ca="1">IF(AG50+2&lt;&gt;AH61,IF(AG50+2&lt;&gt;AH62,IF(AG50+2&lt;&gt;AH63,0,1),1),1)</f>
        <v>#VALUE!</v>
      </c>
    </row>
    <row r="65" spans="1:34" ht="15" customHeight="1">
      <c r="A65" s="363"/>
      <c r="B65" s="364"/>
      <c r="C65" s="74"/>
      <c r="D65" s="190" t="str">
        <f t="shared" si="63"/>
        <v/>
      </c>
      <c r="E65" s="191" t="str">
        <f>IF(AND(B22&lt;&gt;"",C65&lt;&gt;""),BG6+BG22,"")</f>
        <v/>
      </c>
      <c r="F65" s="138"/>
      <c r="G65" s="75" t="str">
        <f t="shared" ca="1" si="64"/>
        <v/>
      </c>
      <c r="L65" s="154"/>
      <c r="M65" s="135"/>
      <c r="P65" s="47" t="s">
        <v>57</v>
      </c>
      <c r="Q65" s="185" t="e">
        <f t="shared" ref="Q65:AE65" si="68">IF(OR(Q59=1,Q64=1),1,0)</f>
        <v>#VALUE!</v>
      </c>
      <c r="R65" s="58" t="e">
        <f t="shared" si="68"/>
        <v>#VALUE!</v>
      </c>
      <c r="S65" s="58" t="e">
        <f t="shared" si="68"/>
        <v>#VALUE!</v>
      </c>
      <c r="T65" s="185">
        <f t="shared" si="68"/>
        <v>0</v>
      </c>
      <c r="U65" s="58">
        <f t="shared" si="68"/>
        <v>0</v>
      </c>
      <c r="V65" s="58">
        <f t="shared" si="68"/>
        <v>0</v>
      </c>
      <c r="W65" s="185" t="e">
        <f t="shared" si="68"/>
        <v>#VALUE!</v>
      </c>
      <c r="X65" s="58" t="e">
        <f t="shared" si="68"/>
        <v>#VALUE!</v>
      </c>
      <c r="Y65" s="58" t="e">
        <f t="shared" si="68"/>
        <v>#VALUE!</v>
      </c>
      <c r="Z65" s="185" t="e">
        <f t="shared" ca="1" si="68"/>
        <v>#VALUE!</v>
      </c>
      <c r="AA65" s="58" t="e">
        <f t="shared" ca="1" si="68"/>
        <v>#VALUE!</v>
      </c>
      <c r="AB65" s="58" t="e">
        <f t="shared" ca="1" si="68"/>
        <v>#VALUE!</v>
      </c>
      <c r="AC65" s="185" t="e">
        <f t="shared" ca="1" si="68"/>
        <v>#VALUE!</v>
      </c>
      <c r="AD65" s="58" t="e">
        <f t="shared" ca="1" si="68"/>
        <v>#VALUE!</v>
      </c>
      <c r="AE65" s="58" t="e">
        <f t="shared" ca="1" si="68"/>
        <v>#VALUE!</v>
      </c>
      <c r="AF65" s="185" t="e">
        <f ca="1">IF(OR(AF59=1,AF64=1),1,0)</f>
        <v>#VALUE!</v>
      </c>
      <c r="AG65" s="58" t="e">
        <f ca="1">IF(OR(AG59=1,AG64=1),1,0)</f>
        <v>#VALUE!</v>
      </c>
      <c r="AH65" s="58" t="e">
        <f ca="1">IF(OR(AH59=1,AH64=1),1,0)</f>
        <v>#VALUE!</v>
      </c>
    </row>
    <row r="66" spans="1:34" ht="15" customHeight="1">
      <c r="A66" s="363"/>
      <c r="B66" s="364"/>
      <c r="C66" s="74"/>
      <c r="D66" s="190" t="str">
        <f t="shared" si="63"/>
        <v/>
      </c>
      <c r="E66" s="191" t="str">
        <f>IF(AND(B22&lt;&gt;"",C66&lt;&gt;""),BJ6+BJ22,"")</f>
        <v/>
      </c>
      <c r="F66" s="138"/>
      <c r="G66" s="75" t="str">
        <f t="shared" ca="1" si="64"/>
        <v/>
      </c>
      <c r="L66" s="154"/>
      <c r="M66" s="135"/>
    </row>
    <row r="67" spans="1:34" ht="15" customHeight="1">
      <c r="A67" s="363"/>
      <c r="B67" s="364"/>
      <c r="C67" s="74"/>
      <c r="D67" s="190" t="str">
        <f t="shared" si="63"/>
        <v/>
      </c>
      <c r="E67" s="191" t="str">
        <f>IF(AND(B22&lt;&gt;"",C67&lt;&gt;""),BM6+BM22,"")</f>
        <v/>
      </c>
      <c r="F67" s="138"/>
      <c r="G67" s="75" t="str">
        <f t="shared" ca="1" si="64"/>
        <v/>
      </c>
      <c r="L67" s="154"/>
      <c r="M67" s="135"/>
      <c r="P67" s="1" t="s">
        <v>63</v>
      </c>
      <c r="Q67" s="10" t="e">
        <f>IF(AND(S50&lt;&gt;"samedi",S50&lt;&gt;"dimanche"),IF(AND(Q65=1,S50="vendredi"),3,IF(AND(Q65=1,S50="samedi"),2,IF(Q65=1,1,0))),IF(AND(S50="samedi",S65=1),3,IF(S50="samedi",2,IF(AND(S50="dimanche",R65=1),2,1))))</f>
        <v>#VALUE!</v>
      </c>
      <c r="T67" s="10">
        <f>IF(AND(V50&lt;&gt;"samedi",V50&lt;&gt;"dimanche"),IF(AND(T65=1,V50="vendredi"),3,IF(AND(T65=1,V50="samedi"),2,IF(T65=1,1,0))),IF(AND(V50="samedi",V65=1),3,IF(V50="samedi",2,IF(AND(V50="dimanche",U65=1),2,1))))</f>
        <v>1</v>
      </c>
      <c r="W67" s="10" t="e">
        <f>IF(AND(Y50&lt;&gt;"samedi",Y50&lt;&gt;"dimanche"),IF(AND(W65=1,Y50="vendredi"),3,IF(AND(W65=1,Y50="samedi"),2,IF(W65=1,1,0))),IF(AND(Y50="samedi",Y65=1),3,IF(Y50="samedi",2,IF(AND(Y50="dimanche",X65=1),2,1))))</f>
        <v>#VALUE!</v>
      </c>
      <c r="Z67" s="10" t="e">
        <f ca="1">IF(AND(AB50&lt;&gt;"samedi",AB50&lt;&gt;"dimanche"),IF(AND(Z65=1,AB50="vendredi"),3,IF(AND(Z65=1,AB50="samedi"),2,IF(Z65=1,1,0))),IF(AND(AB50="samedi",AB65=1),3,IF(AB50="samedi",2,IF(AND(AB50="dimanche",AA65=1),2,1))))</f>
        <v>#VALUE!</v>
      </c>
      <c r="AC67" s="10" t="e">
        <f ca="1">IF(AND(AE50&lt;&gt;"samedi",AE50&lt;&gt;"dimanche"),IF(AND(AC65=1,AE50="vendredi"),3,IF(AND(AC65=1,AE50="samedi"),2,IF(AC65=1,1,0))),IF(AND(AE50="samedi",AE65=1),3,IF(AE50="samedi",2,IF(AND(AE50="dimanche",AD65=1),2,1))))</f>
        <v>#VALUE!</v>
      </c>
      <c r="AF67" s="10" t="e">
        <f ca="1">IF(AND(AH50&lt;&gt;"samedi",AH50&lt;&gt;"dimanche"),IF(AND(AF65=1,AH50="vendredi"),3,IF(AND(AF65=1,AH50="samedi"),2,IF(AF65=1,1,0))),IF(AND(AH50="samedi",AH65=1),3,IF(AH50="samedi",2,IF(AND(AH50="dimanche",AG65=1),2,1))))</f>
        <v>#VALUE!</v>
      </c>
    </row>
    <row r="68" spans="1:34" ht="15" customHeight="1">
      <c r="A68" s="363"/>
      <c r="B68" s="364"/>
      <c r="C68" s="74"/>
      <c r="D68" s="190" t="str">
        <f t="shared" si="63"/>
        <v/>
      </c>
      <c r="E68" s="191" t="str">
        <f>IF(AND(B22&lt;&gt;"",C68&lt;&gt;""),BP6+BP22,"")</f>
        <v/>
      </c>
      <c r="F68" s="138"/>
      <c r="G68" s="75" t="str">
        <f t="shared" ca="1" si="64"/>
        <v/>
      </c>
      <c r="L68" s="154"/>
      <c r="M68" s="135"/>
    </row>
    <row r="69" spans="1:34" ht="15" customHeight="1">
      <c r="A69" s="363"/>
      <c r="B69" s="364"/>
      <c r="C69" s="74"/>
      <c r="D69" s="190" t="str">
        <f t="shared" si="63"/>
        <v/>
      </c>
      <c r="E69" s="191" t="str">
        <f>IF(AND(B22&lt;&gt;"",C69&lt;&gt;""),BS6+BS22,"")</f>
        <v/>
      </c>
      <c r="F69" s="138"/>
      <c r="G69" s="75" t="str">
        <f t="shared" ca="1" si="64"/>
        <v/>
      </c>
      <c r="L69" s="154"/>
      <c r="M69" s="135"/>
      <c r="P69" s="71"/>
      <c r="Q69" s="180" t="s">
        <v>6</v>
      </c>
      <c r="R69" s="81"/>
      <c r="W69" s="180" t="s">
        <v>9</v>
      </c>
      <c r="X69" s="81"/>
      <c r="Z69" s="180" t="s">
        <v>1008</v>
      </c>
      <c r="AA69" s="81"/>
      <c r="AC69" s="180" t="s">
        <v>13</v>
      </c>
      <c r="AD69" s="81"/>
      <c r="AE69" s="192"/>
    </row>
    <row r="70" spans="1:34" ht="15" customHeight="1">
      <c r="A70" s="363"/>
      <c r="B70" s="364"/>
      <c r="C70" s="74"/>
      <c r="D70" s="190" t="str">
        <f t="shared" si="63"/>
        <v/>
      </c>
      <c r="E70" s="191" t="str">
        <f>IF(AND(B22&lt;&gt;"",C70&lt;&gt;""),BV6+BV22,"")</f>
        <v/>
      </c>
      <c r="F70" s="138"/>
      <c r="G70" s="75" t="str">
        <f t="shared" ca="1" si="64"/>
        <v/>
      </c>
      <c r="L70" s="370" t="s">
        <v>1039</v>
      </c>
      <c r="M70" s="371"/>
      <c r="P70" s="71"/>
      <c r="Q70" s="181" t="s">
        <v>81</v>
      </c>
      <c r="R70" s="82" t="str">
        <f>C19</f>
        <v/>
      </c>
      <c r="S70" s="83" t="str">
        <f>(TEXT(R70,"jjjj"))</f>
        <v/>
      </c>
      <c r="W70" s="181" t="s">
        <v>81</v>
      </c>
      <c r="X70" s="82" t="str">
        <f>G19</f>
        <v/>
      </c>
      <c r="Y70" s="83" t="str">
        <f>(TEXT(X70,"jjjj"))</f>
        <v/>
      </c>
      <c r="Z70" s="181" t="s">
        <v>81</v>
      </c>
      <c r="AA70" s="82" t="str">
        <f ca="1">F30</f>
        <v/>
      </c>
      <c r="AB70" s="83" t="str">
        <f ca="1">(TEXT(AA70,"jjjj"))</f>
        <v/>
      </c>
      <c r="AC70" s="181" t="s">
        <v>81</v>
      </c>
      <c r="AD70" s="82" t="str">
        <f ca="1">G30</f>
        <v/>
      </c>
      <c r="AE70" s="193" t="str">
        <f ca="1">(TEXT(AD70,"jjjj"))</f>
        <v/>
      </c>
    </row>
    <row r="71" spans="1:34" ht="15" customHeight="1">
      <c r="A71" s="363"/>
      <c r="B71" s="364"/>
      <c r="C71" s="74"/>
      <c r="D71" s="190" t="str">
        <f t="shared" si="63"/>
        <v/>
      </c>
      <c r="E71" s="191" t="str">
        <f>IF(AND(B22&lt;&gt;"",C71&lt;&gt;""),BY6+BY22,"")</f>
        <v/>
      </c>
      <c r="F71" s="138"/>
      <c r="G71" s="75" t="str">
        <f t="shared" ca="1" si="64"/>
        <v/>
      </c>
      <c r="L71" s="252" t="b">
        <v>0</v>
      </c>
      <c r="M71" s="245" t="s">
        <v>1040</v>
      </c>
      <c r="P71" s="71"/>
      <c r="Q71" s="182" t="s">
        <v>24</v>
      </c>
      <c r="R71" s="22" t="s">
        <v>84</v>
      </c>
      <c r="S71" s="22" t="s">
        <v>85</v>
      </c>
      <c r="W71" s="182" t="s">
        <v>24</v>
      </c>
      <c r="X71" s="22" t="s">
        <v>84</v>
      </c>
      <c r="Y71" s="22" t="s">
        <v>85</v>
      </c>
      <c r="Z71" s="182" t="s">
        <v>24</v>
      </c>
      <c r="AA71" s="22" t="s">
        <v>84</v>
      </c>
      <c r="AB71" s="22" t="s">
        <v>85</v>
      </c>
      <c r="AC71" s="182" t="s">
        <v>24</v>
      </c>
      <c r="AD71" s="22" t="s">
        <v>84</v>
      </c>
      <c r="AE71" s="22" t="s">
        <v>85</v>
      </c>
    </row>
    <row r="72" spans="1:34" ht="15" customHeight="1">
      <c r="A72" s="363"/>
      <c r="B72" s="364"/>
      <c r="C72" s="74"/>
      <c r="D72" s="190" t="str">
        <f t="shared" si="63"/>
        <v/>
      </c>
      <c r="E72" s="191" t="str">
        <f>IF(AND(B22&lt;&gt;"",C72&lt;&gt;""),CB6+CB22,"")</f>
        <v/>
      </c>
      <c r="F72" s="138"/>
      <c r="G72" s="75" t="str">
        <f t="shared" ca="1" si="64"/>
        <v/>
      </c>
      <c r="L72" s="252" t="b">
        <v>0</v>
      </c>
      <c r="M72" s="246" t="s">
        <v>1010</v>
      </c>
      <c r="P72" s="88">
        <v>38354</v>
      </c>
      <c r="Q72" s="89" t="e">
        <f>DATE(YEAR(R70),1,2)</f>
        <v>#VALUE!</v>
      </c>
      <c r="R72" s="82" t="e">
        <f>DATE(YEAR(R70-1),1,2)</f>
        <v>#VALUE!</v>
      </c>
      <c r="S72" s="90" t="e">
        <f>DATE(YEAR(R70-2),1,2)</f>
        <v>#VALUE!</v>
      </c>
      <c r="W72" s="89" t="e">
        <f>DATE(YEAR(X70),1,2)</f>
        <v>#VALUE!</v>
      </c>
      <c r="X72" s="82" t="e">
        <f>DATE(YEAR(X70-1),1,2)</f>
        <v>#VALUE!</v>
      </c>
      <c r="Y72" s="90" t="e">
        <f>DATE(YEAR(X70-2),1,2)</f>
        <v>#VALUE!</v>
      </c>
      <c r="Z72" s="89" t="e">
        <f ca="1">DATE(YEAR(AA70),1,2)</f>
        <v>#VALUE!</v>
      </c>
      <c r="AA72" s="82" t="e">
        <f ca="1">DATE(YEAR(AA70-1),1,2)</f>
        <v>#VALUE!</v>
      </c>
      <c r="AB72" s="90" t="e">
        <f ca="1">DATE(YEAR(AA70-2),1,2)</f>
        <v>#VALUE!</v>
      </c>
      <c r="AC72" s="89" t="e">
        <f ca="1">DATE(YEAR(AD70),1,2)</f>
        <v>#VALUE!</v>
      </c>
      <c r="AD72" s="82" t="e">
        <f ca="1">DATE(YEAR(AD70-1),1,2)</f>
        <v>#VALUE!</v>
      </c>
      <c r="AE72" s="90" t="e">
        <f ca="1">DATE(YEAR(AD70-2),1,2)</f>
        <v>#VALUE!</v>
      </c>
    </row>
    <row r="73" spans="1:34" ht="15" customHeight="1">
      <c r="A73" s="363"/>
      <c r="B73" s="364"/>
      <c r="C73" s="74"/>
      <c r="D73" s="190" t="str">
        <f t="shared" si="63"/>
        <v/>
      </c>
      <c r="E73" s="191" t="str">
        <f>IF(AND(B22&lt;&gt;"",C73&lt;&gt;""),CE6+CE22,"")</f>
        <v/>
      </c>
      <c r="F73" s="138"/>
      <c r="G73" s="75" t="str">
        <f t="shared" ca="1" si="64"/>
        <v/>
      </c>
      <c r="L73" s="258"/>
      <c r="M73" s="246" t="s">
        <v>1041</v>
      </c>
      <c r="P73" s="88">
        <v>38257</v>
      </c>
      <c r="Q73" s="89" t="e">
        <f>DATE(YEAR(R70),9,27)</f>
        <v>#VALUE!</v>
      </c>
      <c r="R73" s="82" t="e">
        <f>DATE(YEAR(R70-1),9,27)</f>
        <v>#VALUE!</v>
      </c>
      <c r="S73" s="90" t="e">
        <f>DATE(YEAR(R70-2),9,27)</f>
        <v>#VALUE!</v>
      </c>
      <c r="W73" s="89" t="e">
        <f>DATE(YEAR(X70),9,27)</f>
        <v>#VALUE!</v>
      </c>
      <c r="X73" s="82" t="e">
        <f>DATE(YEAR(X70-1),9,27)</f>
        <v>#VALUE!</v>
      </c>
      <c r="Y73" s="90" t="e">
        <f>DATE(YEAR(X70-2),9,27)</f>
        <v>#VALUE!</v>
      </c>
      <c r="Z73" s="89" t="e">
        <f ca="1">DATE(YEAR(AA70),9,27)</f>
        <v>#VALUE!</v>
      </c>
      <c r="AA73" s="82" t="e">
        <f ca="1">DATE(YEAR(AA70-1),9,27)</f>
        <v>#VALUE!</v>
      </c>
      <c r="AB73" s="90" t="e">
        <f ca="1">DATE(YEAR(AA70-2),9,27)</f>
        <v>#VALUE!</v>
      </c>
      <c r="AC73" s="89" t="e">
        <f ca="1">DATE(YEAR(AD70),9,27)</f>
        <v>#VALUE!</v>
      </c>
      <c r="AD73" s="82" t="e">
        <f ca="1">DATE(YEAR(AD70-1),9,27)</f>
        <v>#VALUE!</v>
      </c>
      <c r="AE73" s="90" t="e">
        <f ca="1">DATE(YEAR(AD70-2),9,27)</f>
        <v>#VALUE!</v>
      </c>
    </row>
    <row r="74" spans="1:34" ht="15" customHeight="1">
      <c r="A74" s="363"/>
      <c r="B74" s="364"/>
      <c r="C74" s="74"/>
      <c r="D74" s="190" t="str">
        <f t="shared" si="63"/>
        <v/>
      </c>
      <c r="E74" s="191" t="str">
        <f>IF(AND(B22&lt;&gt;"",C74&lt;&gt;""),CH6+CH22,"")</f>
        <v/>
      </c>
      <c r="F74" s="138"/>
      <c r="G74" s="75" t="str">
        <f t="shared" ca="1" si="64"/>
        <v/>
      </c>
      <c r="L74" s="252" t="b">
        <v>0</v>
      </c>
      <c r="M74" s="246" t="s">
        <v>1042</v>
      </c>
      <c r="P74" s="88">
        <v>38293</v>
      </c>
      <c r="Q74" s="89" t="e">
        <f>DATE(YEAR(R70),11,2)</f>
        <v>#VALUE!</v>
      </c>
      <c r="R74" s="82" t="e">
        <f>DATE(YEAR(R70-1),11,2)</f>
        <v>#VALUE!</v>
      </c>
      <c r="S74" s="90" t="e">
        <f>DATE(YEAR(R70-2),11,2)</f>
        <v>#VALUE!</v>
      </c>
      <c r="W74" s="89" t="e">
        <f>DATE(YEAR(X70),11,2)</f>
        <v>#VALUE!</v>
      </c>
      <c r="X74" s="82" t="e">
        <f>DATE(YEAR(X70-1),11,2)</f>
        <v>#VALUE!</v>
      </c>
      <c r="Y74" s="90" t="e">
        <f>DATE(YEAR(X70-2),11,2)</f>
        <v>#VALUE!</v>
      </c>
      <c r="Z74" s="89" t="e">
        <f ca="1">DATE(YEAR(AA70),11,2)</f>
        <v>#VALUE!</v>
      </c>
      <c r="AA74" s="82" t="e">
        <f ca="1">DATE(YEAR(AA70-1),11,2)</f>
        <v>#VALUE!</v>
      </c>
      <c r="AB74" s="90" t="e">
        <f ca="1">DATE(YEAR(AA70-2),11,2)</f>
        <v>#VALUE!</v>
      </c>
      <c r="AC74" s="89" t="e">
        <f ca="1">DATE(YEAR(AD70),11,2)</f>
        <v>#VALUE!</v>
      </c>
      <c r="AD74" s="82" t="e">
        <f ca="1">DATE(YEAR(AD70-1),11,2)</f>
        <v>#VALUE!</v>
      </c>
      <c r="AE74" s="90" t="e">
        <f ca="1">DATE(YEAR(AD70-2),11,2)</f>
        <v>#VALUE!</v>
      </c>
    </row>
    <row r="75" spans="1:34" ht="15" customHeight="1">
      <c r="A75" s="363"/>
      <c r="B75" s="364"/>
      <c r="C75" s="74"/>
      <c r="D75" s="190" t="str">
        <f t="shared" si="63"/>
        <v/>
      </c>
      <c r="E75" s="191" t="str">
        <f>IF(AND(B22&lt;&gt;"",C75&lt;&gt;""),CK6+CK22,"")</f>
        <v/>
      </c>
      <c r="F75" s="138"/>
      <c r="G75" s="75" t="str">
        <f t="shared" ca="1" si="64"/>
        <v/>
      </c>
      <c r="L75" s="253">
        <v>2</v>
      </c>
      <c r="M75" s="246" t="s">
        <v>1043</v>
      </c>
      <c r="P75" s="88">
        <v>38306</v>
      </c>
      <c r="Q75" s="89" t="e">
        <f>DATE(YEAR(R70),11,15)</f>
        <v>#VALUE!</v>
      </c>
      <c r="R75" s="82" t="e">
        <f>DATE(YEAR(R70-1),11,15)</f>
        <v>#VALUE!</v>
      </c>
      <c r="S75" s="90" t="e">
        <f>DATE(YEAR(R70-2),11,15)</f>
        <v>#VALUE!</v>
      </c>
      <c r="W75" s="89" t="e">
        <f>DATE(YEAR(X70),11,15)</f>
        <v>#VALUE!</v>
      </c>
      <c r="X75" s="82" t="e">
        <f>DATE(YEAR(X70-1),11,15)</f>
        <v>#VALUE!</v>
      </c>
      <c r="Y75" s="90" t="e">
        <f>DATE(YEAR(X70-2),11,15)</f>
        <v>#VALUE!</v>
      </c>
      <c r="Z75" s="89" t="e">
        <f ca="1">DATE(YEAR(AA70),11,15)</f>
        <v>#VALUE!</v>
      </c>
      <c r="AA75" s="82" t="e">
        <f ca="1">DATE(YEAR(AA70-1),11,15)</f>
        <v>#VALUE!</v>
      </c>
      <c r="AB75" s="90" t="e">
        <f ca="1">DATE(YEAR(AA70-2),11,15)</f>
        <v>#VALUE!</v>
      </c>
      <c r="AC75" s="89" t="e">
        <f ca="1">DATE(YEAR(AD70),11,15)</f>
        <v>#VALUE!</v>
      </c>
      <c r="AD75" s="82" t="e">
        <f ca="1">DATE(YEAR(AD70-1),11,15)</f>
        <v>#VALUE!</v>
      </c>
      <c r="AE75" s="90" t="e">
        <f ca="1">DATE(YEAR(AD70-2),11,15)</f>
        <v>#VALUE!</v>
      </c>
    </row>
    <row r="76" spans="1:34" ht="15" customHeight="1">
      <c r="A76" s="363"/>
      <c r="B76" s="364"/>
      <c r="C76" s="74"/>
      <c r="D76" s="190" t="str">
        <f t="shared" si="63"/>
        <v/>
      </c>
      <c r="E76" s="191" t="str">
        <f>IF(AND(B22&lt;&gt;"",C76&lt;&gt;""),CN6+CN22,"")</f>
        <v/>
      </c>
      <c r="F76" s="138"/>
      <c r="G76" s="75" t="str">
        <f t="shared" ca="1" si="64"/>
        <v/>
      </c>
      <c r="L76" s="252" t="b">
        <v>0</v>
      </c>
      <c r="M76" s="246" t="s">
        <v>1044</v>
      </c>
      <c r="P76" s="88">
        <v>38347</v>
      </c>
      <c r="Q76" s="89" t="e">
        <f>DATE(YEAR(R70),12,26)</f>
        <v>#VALUE!</v>
      </c>
      <c r="R76" s="82" t="e">
        <f>DATE(YEAR(R70-1),12,26)</f>
        <v>#VALUE!</v>
      </c>
      <c r="S76" s="90" t="e">
        <f>DATE(YEAR(R70-2),12,26)</f>
        <v>#VALUE!</v>
      </c>
      <c r="W76" s="89" t="e">
        <f>DATE(YEAR(X70),12,26)</f>
        <v>#VALUE!</v>
      </c>
      <c r="X76" s="82" t="e">
        <f>DATE(YEAR(X70-1),12,26)</f>
        <v>#VALUE!</v>
      </c>
      <c r="Y76" s="90" t="e">
        <f>DATE(YEAR(X70-2),12,26)</f>
        <v>#VALUE!</v>
      </c>
      <c r="Z76" s="89" t="e">
        <f ca="1">DATE(YEAR(AA70),12,26)</f>
        <v>#VALUE!</v>
      </c>
      <c r="AA76" s="82" t="e">
        <f ca="1">DATE(YEAR(AA70-1),12,26)</f>
        <v>#VALUE!</v>
      </c>
      <c r="AB76" s="90" t="e">
        <f ca="1">DATE(YEAR(AA70-2),12,26)</f>
        <v>#VALUE!</v>
      </c>
      <c r="AC76" s="89" t="e">
        <f ca="1">DATE(YEAR(AD70),12,26)</f>
        <v>#VALUE!</v>
      </c>
      <c r="AD76" s="82" t="e">
        <f ca="1">DATE(YEAR(AD70-1),12,26)</f>
        <v>#VALUE!</v>
      </c>
      <c r="AE76" s="90" t="e">
        <f ca="1">DATE(YEAR(AD70-2),12,26)</f>
        <v>#VALUE!</v>
      </c>
    </row>
    <row r="77" spans="1:34" ht="15" customHeight="1">
      <c r="A77" s="363"/>
      <c r="B77" s="364"/>
      <c r="C77" s="74"/>
      <c r="D77" s="190" t="str">
        <f t="shared" si="63"/>
        <v/>
      </c>
      <c r="E77" s="191" t="str">
        <f>IF(AND(B22&lt;&gt;"",C77&lt;&gt;""),CQ6+CQ22,"")</f>
        <v/>
      </c>
      <c r="F77" s="138"/>
      <c r="G77" s="75" t="str">
        <f t="shared" ca="1" si="64"/>
        <v/>
      </c>
      <c r="L77" s="252" t="b">
        <v>0</v>
      </c>
      <c r="M77" s="246" t="s">
        <v>1045</v>
      </c>
      <c r="P77" s="91" t="s">
        <v>970</v>
      </c>
      <c r="Q77" s="92" t="e">
        <f>IF(R70&lt;&gt;Q72,IF(R70&lt;&gt;Q73,IF(R70&lt;&gt;Q74,IF(R70&lt;&gt;Q75,IF(R70&lt;&gt;Q76,0,1),1),1),1),1)</f>
        <v>#VALUE!</v>
      </c>
      <c r="R77" s="93" t="e">
        <f>IF(R70-1&lt;&gt;R72,IF(R70-1&lt;&gt;R73,IF(R70-1&lt;&gt;R74,IF(R70-1&lt;&gt;R75,IF(R70-1&lt;&gt;R76,0,1),1),1),1),1)</f>
        <v>#VALUE!</v>
      </c>
      <c r="S77" s="94" t="e">
        <f>IF(R70-2&lt;&gt;S72,IF(R70-2&lt;&gt;S73,IF(R70-2&lt;&gt;S74,IF(R70-2&lt;&gt;S75,IF(R70-2&lt;&gt;S76,0,1),1),1),1),1)</f>
        <v>#VALUE!</v>
      </c>
      <c r="W77" s="92" t="e">
        <f>IF(X70&lt;&gt;W72,IF(X70&lt;&gt;W73,IF(X70&lt;&gt;W74,IF(X70&lt;&gt;W75,IF(X70&lt;&gt;W76,0,1),1),1),1),1)</f>
        <v>#VALUE!</v>
      </c>
      <c r="X77" s="93" t="e">
        <f>IF(X70-1&lt;&gt;X72,IF(X70-1&lt;&gt;X73,IF(X70-1&lt;&gt;X74,IF(X70-1&lt;&gt;X75,IF(X70-1&lt;&gt;X76,0,1),1),1),1),1)</f>
        <v>#VALUE!</v>
      </c>
      <c r="Y77" s="94" t="e">
        <f>IF(X70-2&lt;&gt;Y72,IF(X70-2&lt;&gt;Y73,IF(X70-2&lt;&gt;Y74,IF(X70-2&lt;&gt;Y75,IF(X70-2&lt;&gt;Y76,0,1),1),1),1),1)</f>
        <v>#VALUE!</v>
      </c>
      <c r="Z77" s="92" t="e">
        <f ca="1">IF(AA70&lt;&gt;Z72,IF(AA70&lt;&gt;Z73,IF(AA70&lt;&gt;Z74,IF(AA70&lt;&gt;Z75,IF(AA70&lt;&gt;Z76,0,1),1),1),1),1)</f>
        <v>#VALUE!</v>
      </c>
      <c r="AA77" s="93" t="e">
        <f ca="1">IF(AA70-1&lt;&gt;AA72,IF(AA70-1&lt;&gt;AA73,IF(AA70-1&lt;&gt;AA74,IF(AA70-1&lt;&gt;AA75,IF(AA70-1&lt;&gt;AA76,0,1),1),1),1),1)</f>
        <v>#VALUE!</v>
      </c>
      <c r="AB77" s="94" t="e">
        <f ca="1">IF(AA70-2&lt;&gt;AB72,IF(AA70-2&lt;&gt;AB73,IF(AA70-2&lt;&gt;AB74,IF(AA70-2&lt;&gt;AB75,IF(AA70-2&lt;&gt;AB76,0,1),1),1),1),1)</f>
        <v>#VALUE!</v>
      </c>
      <c r="AC77" s="92" t="e">
        <f ca="1">IF(AD70&lt;&gt;AC72,IF(AD70&lt;&gt;AC73,IF(AD70&lt;&gt;AC74,IF(AD70&lt;&gt;AC75,IF(AD70&lt;&gt;AC76,0,1),1),1),1),1)</f>
        <v>#VALUE!</v>
      </c>
      <c r="AD77" s="93" t="e">
        <f ca="1">IF(AD70-1&lt;&gt;AD72,IF(AD70-1&lt;&gt;AD73,IF(AD70-1&lt;&gt;AD74,IF(AD70-1&lt;&gt;AD75,IF(AD70-1&lt;&gt;AD76,0,1),1),1),1),1)</f>
        <v>#VALUE!</v>
      </c>
      <c r="AE77" s="94" t="e">
        <f ca="1">IF(AD70-2&lt;&gt;AE72,IF(AD70-2&lt;&gt;AE73,IF(AD70-2&lt;&gt;AE74,IF(AD70-2&lt;&gt;AE75,IF(AD70-2&lt;&gt;AE76,0,1),1),1),1),1)</f>
        <v>#VALUE!</v>
      </c>
    </row>
    <row r="78" spans="1:34" ht="15" customHeight="1">
      <c r="A78" s="363"/>
      <c r="B78" s="364"/>
      <c r="C78" s="74"/>
      <c r="D78" s="190" t="str">
        <f t="shared" si="63"/>
        <v/>
      </c>
      <c r="E78" s="191" t="str">
        <f>IF(AND(B22&lt;&gt;"",C78&lt;&gt;""),CT6+CT22,"")</f>
        <v/>
      </c>
      <c r="F78" s="138"/>
      <c r="G78" s="75" t="str">
        <f t="shared" ca="1" si="64"/>
        <v/>
      </c>
      <c r="L78" s="253">
        <f>IF(AND(F33&lt;&gt;"",L79=1),IF(F33&lt;=L43,1,0),0)</f>
        <v>0</v>
      </c>
      <c r="M78" s="246" t="s">
        <v>1046</v>
      </c>
      <c r="P78" s="34" t="s">
        <v>63</v>
      </c>
      <c r="Q78" s="101" t="e">
        <f>IF(AND(S70&lt;&gt;"samedi",S70&lt;&gt;"dimanche"),IF(AND(Q77=1,S70="lundi"),3,IF(Q77=1,1,0)),IF(AND(S70="samedi",R77=1),2,IF(S70="samedi",1,IF(AND(S70="dimanche",S77=1),3,2))))</f>
        <v>#VALUE!</v>
      </c>
      <c r="R78" s="82" t="e">
        <f>R70-IF(Q85=1,R85,IF(Q83=1,R83,Q78))</f>
        <v>#VALUE!</v>
      </c>
      <c r="S78" s="83"/>
      <c r="W78" s="101" t="e">
        <f>IF(AND(Y70&lt;&gt;"samedi",Y70&lt;&gt;"dimanche"),IF(AND(W77=1,Y70="lundi"),3,IF(W77=1,1,0)),IF(AND(Y70="samedi",X77=1),2,IF(Y70="samedi",1,IF(AND(Y70="dimanche",Y77=1),3,2))))</f>
        <v>#VALUE!</v>
      </c>
      <c r="X78" s="82" t="e">
        <f>X70-IF(W85=1,X85,IF(W83=1,X83,W78))</f>
        <v>#VALUE!</v>
      </c>
      <c r="Y78" s="112"/>
      <c r="Z78" s="101" t="e">
        <f ca="1">IF(AND(AB70&lt;&gt;"samedi",AB70&lt;&gt;"dimanche"),IF(AND(Z77=1,AB70="lundi"),3,IF(Z77=1,1,0)),IF(AND(AB70="samedi",AA77=1),2,IF(AB70="samedi",1,IF(AND(AB70="dimanche",AB77=1),3,2))))</f>
        <v>#VALUE!</v>
      </c>
      <c r="AA78" s="82" t="e">
        <f ca="1">AA70-IF(Z85=1,AA85,IF(Z83=1,AA83,Z78))</f>
        <v>#VALUE!</v>
      </c>
      <c r="AB78" s="112"/>
      <c r="AC78" s="101" t="e">
        <f ca="1">IF(AND(AE70&lt;&gt;"samedi",AE70&lt;&gt;"dimanche"),IF(AND(AC77=1,AE70="lundi"),3,IF(AC77=1,1,0)),IF(AND(AE70="samedi",AD77=1),2,IF(AE70="samedi",1,IF(AND(AE70="dimanche",AE77=1),3,2))))</f>
        <v>#VALUE!</v>
      </c>
      <c r="AD78" s="82" t="e">
        <f ca="1">AD70-IF(AC85=1,AD85,IF(AC83=1,AD83,AC78))</f>
        <v>#VALUE!</v>
      </c>
      <c r="AE78" s="112"/>
    </row>
    <row r="79" spans="1:34" ht="15" customHeight="1">
      <c r="A79" s="363"/>
      <c r="B79" s="364"/>
      <c r="C79" s="74"/>
      <c r="D79" s="190" t="str">
        <f t="shared" si="63"/>
        <v/>
      </c>
      <c r="E79" s="191" t="str">
        <f>IF(AND(B22&lt;&gt;"",C79&lt;&gt;""),CW6+CW22,"")</f>
        <v/>
      </c>
      <c r="F79" s="138"/>
      <c r="G79" s="75" t="str">
        <f t="shared" ca="1" si="64"/>
        <v/>
      </c>
      <c r="L79" s="255">
        <v>1</v>
      </c>
      <c r="M79" s="246" t="s">
        <v>1047</v>
      </c>
      <c r="N79" s="247" t="s">
        <v>1048</v>
      </c>
      <c r="P79" s="88"/>
      <c r="Q79" s="110"/>
      <c r="R79" s="110"/>
      <c r="S79" s="110"/>
      <c r="W79" s="110"/>
      <c r="X79" s="110"/>
      <c r="Y79" s="110"/>
      <c r="Z79" s="110"/>
      <c r="AA79" s="110"/>
      <c r="AB79" s="110"/>
      <c r="AC79" s="110"/>
      <c r="AD79" s="110"/>
      <c r="AE79" s="110"/>
    </row>
    <row r="80" spans="1:34" ht="15" customHeight="1">
      <c r="A80" s="363"/>
      <c r="B80" s="364"/>
      <c r="C80" s="74"/>
      <c r="D80" s="190" t="str">
        <f t="shared" si="63"/>
        <v/>
      </c>
      <c r="E80" s="191" t="str">
        <f>IF(AND(B22&lt;&gt;"",C80&lt;&gt;""),CZ6+CZ22,"")</f>
        <v/>
      </c>
      <c r="F80" s="138"/>
      <c r="G80" s="75" t="str">
        <f t="shared" ca="1" si="64"/>
        <v/>
      </c>
      <c r="L80" s="258"/>
      <c r="M80" s="246" t="s">
        <v>1049</v>
      </c>
      <c r="P80" s="88">
        <v>38354</v>
      </c>
      <c r="Q80" s="118" t="e">
        <f>DATE(YEAR(R70),1,2)</f>
        <v>#VALUE!</v>
      </c>
      <c r="W80" s="118" t="e">
        <f>DATE(YEAR(X70),1,2)</f>
        <v>#VALUE!</v>
      </c>
      <c r="Z80" s="118" t="e">
        <f ca="1">DATE(YEAR(AA70),1,2)</f>
        <v>#VALUE!</v>
      </c>
      <c r="AC80" s="118" t="e">
        <f ca="1">DATE(YEAR(AD70),1,2)</f>
        <v>#VALUE!</v>
      </c>
    </row>
    <row r="81" spans="1:31" ht="15" customHeight="1">
      <c r="A81" s="1"/>
      <c r="B81" s="1"/>
      <c r="L81" s="252" t="b">
        <v>0</v>
      </c>
      <c r="M81" s="246" t="s">
        <v>1054</v>
      </c>
      <c r="P81" s="88">
        <v>38293</v>
      </c>
      <c r="Q81" s="118" t="e">
        <f>DATE(YEAR(R70),11,2)</f>
        <v>#VALUE!</v>
      </c>
      <c r="R81" s="110"/>
      <c r="S81" s="117"/>
      <c r="W81" s="118" t="e">
        <f>DATE(YEAR(X70),11,2)</f>
        <v>#VALUE!</v>
      </c>
      <c r="X81" s="110"/>
      <c r="Y81" s="117"/>
      <c r="Z81" s="118" t="e">
        <f ca="1">DATE(YEAR(AA70),11,2)</f>
        <v>#VALUE!</v>
      </c>
      <c r="AA81" s="110"/>
      <c r="AB81" s="117"/>
      <c r="AC81" s="118" t="e">
        <f ca="1">DATE(YEAR(AD70),11,2)</f>
        <v>#VALUE!</v>
      </c>
      <c r="AD81" s="110"/>
      <c r="AE81" s="117"/>
    </row>
    <row r="82" spans="1:31" ht="15" customHeight="1">
      <c r="A82" s="1"/>
      <c r="B82" s="1"/>
      <c r="L82" s="253">
        <v>505</v>
      </c>
      <c r="M82" s="246" t="s">
        <v>1055</v>
      </c>
      <c r="P82" s="88">
        <v>38347</v>
      </c>
      <c r="Q82" s="118" t="e">
        <f>DATE(YEAR(R70),12,26)</f>
        <v>#VALUE!</v>
      </c>
      <c r="R82" s="110"/>
      <c r="S82" s="117"/>
      <c r="W82" s="118" t="e">
        <f>DATE(YEAR(X70),12,26)</f>
        <v>#VALUE!</v>
      </c>
      <c r="X82" s="110"/>
      <c r="Y82" s="117"/>
      <c r="Z82" s="118" t="e">
        <f ca="1">DATE(YEAR(AA70),12,26)</f>
        <v>#VALUE!</v>
      </c>
      <c r="AA82" s="110"/>
      <c r="AB82" s="117"/>
      <c r="AC82" s="118" t="e">
        <f ca="1">DATE(YEAR(AD70),12,26)</f>
        <v>#VALUE!</v>
      </c>
      <c r="AD82" s="110"/>
      <c r="AE82" s="117"/>
    </row>
    <row r="83" spans="1:31" ht="15" customHeight="1">
      <c r="A83" s="324" t="s">
        <v>969</v>
      </c>
      <c r="B83" s="61">
        <v>7</v>
      </c>
      <c r="L83" s="255">
        <v>3</v>
      </c>
      <c r="M83" s="246" t="s">
        <v>29</v>
      </c>
      <c r="P83" s="83"/>
      <c r="Q83" s="119" t="e">
        <f>IF(R70&lt;&gt;Q80,IF(R70&lt;&gt;Q81,IF(R70&lt;&gt;Q82,0,1),1),1)</f>
        <v>#VALUE!</v>
      </c>
      <c r="R83" s="101" t="e">
        <f>IF(Q83=1,IF(AND(S70&lt;&gt;"lundi",S70&lt;&gt;"mardi"),2,IF(S70="lundi",3,4)),0)</f>
        <v>#VALUE!</v>
      </c>
      <c r="S83" s="111"/>
      <c r="W83" s="119" t="e">
        <f>IF(X70&lt;&gt;W80,IF(X70&lt;&gt;W81,IF(X70&lt;&gt;W82,0,1),1),1)</f>
        <v>#VALUE!</v>
      </c>
      <c r="X83" s="101" t="e">
        <f>IF(W83=1,IF(AND(Y70&lt;&gt;"lundi",Y70&lt;&gt;"mardi"),2,IF(Y70="lundi",3,4)),0)</f>
        <v>#VALUE!</v>
      </c>
      <c r="Y83" s="111"/>
      <c r="Z83" s="119" t="e">
        <f ca="1">IF(AA70&lt;&gt;Z80,IF(AA70&lt;&gt;Z81,IF(AA70&lt;&gt;Z82,0,1),1),1)</f>
        <v>#VALUE!</v>
      </c>
      <c r="AA83" s="101" t="e">
        <f ca="1">IF(Z83=1,IF(AND(AB70&lt;&gt;"lundi",AB70&lt;&gt;"mardi"),2,IF(AB70="lundi",3,4)),0)</f>
        <v>#VALUE!</v>
      </c>
      <c r="AB83" s="111"/>
      <c r="AC83" s="119" t="e">
        <f ca="1">IF(AD70&lt;&gt;AC80,IF(AD70&lt;&gt;AC81,IF(AD70&lt;&gt;AC82,0,1),1),1)</f>
        <v>#VALUE!</v>
      </c>
      <c r="AD83" s="101" t="e">
        <f ca="1">IF(AC83=1,IF(AND(AE70&lt;&gt;"lundi",AE70&lt;&gt;"mardi"),2,IF(AE70="lundi",3,4)),0)</f>
        <v>#VALUE!</v>
      </c>
      <c r="AE83" s="111"/>
    </row>
    <row r="84" spans="1:31" ht="15" customHeight="1">
      <c r="L84" s="254">
        <v>1</v>
      </c>
      <c r="M84" s="249" t="s">
        <v>32</v>
      </c>
    </row>
    <row r="85" spans="1:31" ht="15" customHeight="1">
      <c r="L85" s="254">
        <v>2</v>
      </c>
      <c r="M85" s="249" t="s">
        <v>35</v>
      </c>
      <c r="P85" s="88">
        <v>38354</v>
      </c>
      <c r="Q85" s="119" t="e">
        <f>IF(AND(MONTH(R70)=1,S70="lundi",OR(DAY(R70)=2,DAY(R70)=3,DAY(R70)=4)),1,0)</f>
        <v>#VALUE!</v>
      </c>
      <c r="R85" s="101" t="e">
        <f>IF(AND(Q85=1,S70="lundi"),IF(DAY(R70)=4,4,3),0)</f>
        <v>#VALUE!</v>
      </c>
      <c r="W85" s="119" t="e">
        <f>IF(AND(MONTH(X70)=1,Y70="lundi",OR(DAY(X70)=2,DAY(X70)=3,DAY(X70)=4)),1,0)</f>
        <v>#VALUE!</v>
      </c>
      <c r="X85" s="101" t="e">
        <f>IF(AND(W85=1,Y70="lundi"),IF(DAY(X70)=4,4,3),0)</f>
        <v>#VALUE!</v>
      </c>
      <c r="Z85" s="119" t="e">
        <f ca="1">IF(AND(MONTH(AA70)=1,AB70="lundi",OR(DAY(AA70)=2,DAY(AA70)=3,DAY(AA70)=4)),1,0)</f>
        <v>#VALUE!</v>
      </c>
      <c r="AA85" s="101" t="e">
        <f ca="1">IF(AND(Z85=1,AB70="lundi"),IF(DAY(AA70)=4,4,3),0)</f>
        <v>#VALUE!</v>
      </c>
      <c r="AC85" s="119" t="e">
        <f ca="1">IF(AND(MONTH(AD70)=1,AE70="lundi",OR(DAY(AD70)=2,DAY(AD70)=3,DAY(AD70)=4)),1,0)</f>
        <v>#VALUE!</v>
      </c>
      <c r="AD85" s="101" t="e">
        <f ca="1">IF(AND(AC85=1,AE70="lundi"),IF(DAY(AD70)=4,4,3),0)</f>
        <v>#VALUE!</v>
      </c>
    </row>
    <row r="86" spans="1:31" ht="15" customHeight="1">
      <c r="L86" s="254">
        <v>3</v>
      </c>
      <c r="M86" s="249" t="s">
        <v>38</v>
      </c>
      <c r="N86" s="248"/>
    </row>
    <row r="87" spans="1:31" ht="15" customHeight="1">
      <c r="L87" s="254">
        <v>4</v>
      </c>
      <c r="M87" s="249" t="s">
        <v>41</v>
      </c>
      <c r="N87" s="154"/>
    </row>
    <row r="88" spans="1:31" ht="15" customHeight="1">
      <c r="L88" s="254">
        <v>5</v>
      </c>
      <c r="M88" s="249" t="s">
        <v>1064</v>
      </c>
      <c r="N88" s="154"/>
    </row>
    <row r="89" spans="1:31" ht="15" customHeight="1">
      <c r="L89" s="254">
        <v>6</v>
      </c>
      <c r="M89" s="249" t="s">
        <v>1082</v>
      </c>
      <c r="N89" s="154"/>
    </row>
    <row r="90" spans="1:31" ht="15" customHeight="1">
      <c r="L90" s="338">
        <f ca="1">IF(L79=1,IF(AND(F33&lt;&gt;"",F33&lt;=F30,F34=""),3,IF(OR(AND(F33&gt;F30,G33&gt;G30),AND(F33&gt;F30,G33="",TODAY()&gt;G30),AND(F33="",G33="",TODAY()&gt;G30)),1,IF(AND(F33&lt;=F30,OR(G33&gt;G30,AND(G33="",TODAY()&gt;G30))),2,0))),IF(OR(G33&gt;G30,AND(G33="",TODAY()&gt;G30)),1,0))</f>
        <v>0</v>
      </c>
      <c r="M90" s="246" t="s">
        <v>1085</v>
      </c>
    </row>
    <row r="91" spans="1:31" ht="15" customHeight="1">
      <c r="L91" s="254">
        <v>0</v>
      </c>
      <c r="M91" s="249" t="s">
        <v>38</v>
      </c>
    </row>
    <row r="92" spans="1:31" ht="15" customHeight="1">
      <c r="L92" s="254">
        <v>1</v>
      </c>
      <c r="M92" s="249" t="s">
        <v>1086</v>
      </c>
    </row>
    <row r="93" spans="1:31" ht="15" customHeight="1">
      <c r="L93" s="254">
        <v>2</v>
      </c>
      <c r="M93" s="249" t="s">
        <v>1087</v>
      </c>
    </row>
  </sheetData>
  <sheetProtection sheet="1" objects="1" scenarios="1"/>
  <mergeCells count="47">
    <mergeCell ref="A74:B74"/>
    <mergeCell ref="A64:B64"/>
    <mergeCell ref="A50:B50"/>
    <mergeCell ref="A62:B62"/>
    <mergeCell ref="A63:B63"/>
    <mergeCell ref="A73:B73"/>
    <mergeCell ref="A66:B66"/>
    <mergeCell ref="L70:M70"/>
    <mergeCell ref="A51:B51"/>
    <mergeCell ref="A52:B52"/>
    <mergeCell ref="A53:B53"/>
    <mergeCell ref="A55:B55"/>
    <mergeCell ref="A56:B56"/>
    <mergeCell ref="A57:B57"/>
    <mergeCell ref="A65:B65"/>
    <mergeCell ref="A54:B54"/>
    <mergeCell ref="A61:B61"/>
    <mergeCell ref="A80:B80"/>
    <mergeCell ref="A75:B75"/>
    <mergeCell ref="A76:B76"/>
    <mergeCell ref="A77:B77"/>
    <mergeCell ref="A78:B78"/>
    <mergeCell ref="A79:B79"/>
    <mergeCell ref="D50:E50"/>
    <mergeCell ref="E42:G42"/>
    <mergeCell ref="E38:G38"/>
    <mergeCell ref="E41:G41"/>
    <mergeCell ref="A72:B72"/>
    <mergeCell ref="A68:B68"/>
    <mergeCell ref="A69:B69"/>
    <mergeCell ref="A70:B70"/>
    <mergeCell ref="A71:B71"/>
    <mergeCell ref="A67:B67"/>
    <mergeCell ref="A58:B58"/>
    <mergeCell ref="A59:B59"/>
    <mergeCell ref="A60:B60"/>
    <mergeCell ref="B45:C45"/>
    <mergeCell ref="B46:C46"/>
    <mergeCell ref="B47:C47"/>
    <mergeCell ref="B44:C44"/>
    <mergeCell ref="B6:G6"/>
    <mergeCell ref="B36:C36"/>
    <mergeCell ref="B7:G7"/>
    <mergeCell ref="B26:D26"/>
    <mergeCell ref="B38:C38"/>
    <mergeCell ref="F25:G25"/>
    <mergeCell ref="D36:F36"/>
  </mergeCells>
  <conditionalFormatting sqref="D29">
    <cfRule type="cellIs" dxfId="169" priority="14" stopIfTrue="1" operator="greaterThan">
      <formula>D28</formula>
    </cfRule>
  </conditionalFormatting>
  <conditionalFormatting sqref="A51:A80">
    <cfRule type="expression" dxfId="168" priority="15" stopIfTrue="1">
      <formula>B51=1</formula>
    </cfRule>
  </conditionalFormatting>
  <conditionalFormatting sqref="G18">
    <cfRule type="expression" dxfId="167" priority="16" stopIfTrue="1">
      <formula>F20="Complet !"</formula>
    </cfRule>
  </conditionalFormatting>
  <conditionalFormatting sqref="E51:E80">
    <cfRule type="expression" dxfId="166" priority="17" stopIfTrue="1">
      <formula>A51&lt;&gt;""</formula>
    </cfRule>
  </conditionalFormatting>
  <conditionalFormatting sqref="F51:F58">
    <cfRule type="expression" dxfId="165" priority="18" stopIfTrue="1">
      <formula>A51&lt;&gt;""</formula>
    </cfRule>
  </conditionalFormatting>
  <conditionalFormatting sqref="F59:F80">
    <cfRule type="expression" dxfId="164" priority="19" stopIfTrue="1">
      <formula>A59&lt;&gt;""</formula>
    </cfRule>
  </conditionalFormatting>
  <conditionalFormatting sqref="M71 M50:M69">
    <cfRule type="expression" dxfId="163" priority="20" stopIfTrue="1">
      <formula>N49=1</formula>
    </cfRule>
  </conditionalFormatting>
  <conditionalFormatting sqref="H13 D20">
    <cfRule type="cellIs" dxfId="162" priority="21" stopIfTrue="1" operator="equal">
      <formula>"Complet !"</formula>
    </cfRule>
  </conditionalFormatting>
  <conditionalFormatting sqref="B42">
    <cfRule type="cellIs" dxfId="161" priority="22" stopIfTrue="1" operator="greaterThan">
      <formula>$B$40</formula>
    </cfRule>
  </conditionalFormatting>
  <conditionalFormatting sqref="C42">
    <cfRule type="cellIs" dxfId="160" priority="23" stopIfTrue="1" operator="greaterThan">
      <formula>$C$40</formula>
    </cfRule>
  </conditionalFormatting>
  <conditionalFormatting sqref="E30">
    <cfRule type="cellIs" dxfId="159" priority="24" stopIfTrue="1" operator="notEqual">
      <formula>""</formula>
    </cfRule>
  </conditionalFormatting>
  <conditionalFormatting sqref="B1:B5 B6:G6">
    <cfRule type="cellIs" dxfId="158" priority="25" stopIfTrue="1" operator="notEqual">
      <formula>""</formula>
    </cfRule>
  </conditionalFormatting>
  <conditionalFormatting sqref="G1">
    <cfRule type="cellIs" dxfId="157" priority="26" stopIfTrue="1" operator="notEqual">
      <formula>""</formula>
    </cfRule>
  </conditionalFormatting>
  <conditionalFormatting sqref="F14">
    <cfRule type="cellIs" dxfId="156" priority="27" stopIfTrue="1" operator="equal">
      <formula>"Uniquement en PU !"</formula>
    </cfRule>
  </conditionalFormatting>
  <conditionalFormatting sqref="D51:D80">
    <cfRule type="expression" dxfId="155" priority="28" stopIfTrue="1">
      <formula>A51&lt;&gt;""</formula>
    </cfRule>
  </conditionalFormatting>
  <conditionalFormatting sqref="C23 G23 F35:G35">
    <cfRule type="cellIs" dxfId="154" priority="29" stopIfTrue="1" operator="notEqual">
      <formula>""</formula>
    </cfRule>
  </conditionalFormatting>
  <conditionalFormatting sqref="B36:C36">
    <cfRule type="cellIs" dxfId="153" priority="34" stopIfTrue="1" operator="notEqual">
      <formula>""</formula>
    </cfRule>
    <cfRule type="expression" dxfId="152" priority="35" stopIfTrue="1">
      <formula>B35=""</formula>
    </cfRule>
  </conditionalFormatting>
  <conditionalFormatting sqref="E41:G41">
    <cfRule type="cellIs" dxfId="151" priority="36" stopIfTrue="1" operator="notEqual">
      <formula>""</formula>
    </cfRule>
  </conditionalFormatting>
  <conditionalFormatting sqref="E42:G42">
    <cfRule type="cellIs" dxfId="150" priority="37" stopIfTrue="1" operator="notEqual">
      <formula>""</formula>
    </cfRule>
  </conditionalFormatting>
  <conditionalFormatting sqref="G51:G80">
    <cfRule type="cellIs" dxfId="149" priority="38" stopIfTrue="1" operator="equal">
      <formula>"Réputé favorable"</formula>
    </cfRule>
    <cfRule type="expression" dxfId="148" priority="39" stopIfTrue="1">
      <formula>AND(G51="Avis non reçu",TODAY()&gt;E51)</formula>
    </cfRule>
    <cfRule type="cellIs" dxfId="147" priority="40" stopIfTrue="1" operator="equal">
      <formula>"Avis non reçu"</formula>
    </cfRule>
  </conditionalFormatting>
  <conditionalFormatting sqref="G29">
    <cfRule type="expression" dxfId="146" priority="41" stopIfTrue="1">
      <formula>G33&gt;G31</formula>
    </cfRule>
    <cfRule type="expression" dxfId="145" priority="42" stopIfTrue="1">
      <formula>AND(J27=1,G29-G28=1)</formula>
    </cfRule>
  </conditionalFormatting>
  <conditionalFormatting sqref="F18">
    <cfRule type="expression" dxfId="144" priority="43" stopIfTrue="1">
      <formula>J4=0</formula>
    </cfRule>
    <cfRule type="expression" dxfId="143" priority="44" stopIfTrue="1">
      <formula>AND(J4=1,F18&gt;E17)</formula>
    </cfRule>
  </conditionalFormatting>
  <conditionalFormatting sqref="C18">
    <cfRule type="expression" dxfId="142" priority="45" stopIfTrue="1">
      <formula>D20="Complet !"</formula>
    </cfRule>
    <cfRule type="expression" dxfId="141" priority="46" stopIfTrue="1">
      <formula>AND(K25=1,C22&gt;C20,C22-C20&lt;2)</formula>
    </cfRule>
  </conditionalFormatting>
  <conditionalFormatting sqref="B31">
    <cfRule type="expression" dxfId="140" priority="47" stopIfTrue="1">
      <formula>MAX(I29,I33)&lt;&gt;0</formula>
    </cfRule>
  </conditionalFormatting>
  <conditionalFormatting sqref="C31">
    <cfRule type="expression" dxfId="139" priority="48" stopIfTrue="1">
      <formula>MAX(I29,I33)&lt;&gt;0</formula>
    </cfRule>
  </conditionalFormatting>
  <conditionalFormatting sqref="B32">
    <cfRule type="expression" dxfId="138" priority="49" stopIfTrue="1">
      <formula>MAX(I29,I33)&lt;&gt;0</formula>
    </cfRule>
  </conditionalFormatting>
  <conditionalFormatting sqref="C32">
    <cfRule type="expression" dxfId="137" priority="50" stopIfTrue="1">
      <formula>MAX(I29,I33)&lt;&gt;0</formula>
    </cfRule>
  </conditionalFormatting>
  <conditionalFormatting sqref="C10">
    <cfRule type="expression" dxfId="136" priority="51" stopIfTrue="1">
      <formula>L71=TRUE</formula>
    </cfRule>
  </conditionalFormatting>
  <conditionalFormatting sqref="E10">
    <cfRule type="expression" dxfId="135" priority="52" stopIfTrue="1">
      <formula>L71=TRUE</formula>
    </cfRule>
  </conditionalFormatting>
  <conditionalFormatting sqref="G10">
    <cfRule type="expression" dxfId="134" priority="53" stopIfTrue="1">
      <formula>L71=TRUE</formula>
    </cfRule>
  </conditionalFormatting>
  <conditionalFormatting sqref="F34">
    <cfRule type="expression" dxfId="133" priority="54" stopIfTrue="1">
      <formula>OR(L78=0,L83=1,L83=4)</formula>
    </cfRule>
    <cfRule type="expression" dxfId="132" priority="55" stopIfTrue="1">
      <formula>OR(L78=1)</formula>
    </cfRule>
  </conditionalFormatting>
  <conditionalFormatting sqref="C35">
    <cfRule type="expression" dxfId="131" priority="56" stopIfTrue="1">
      <formula>AND(C35&lt;&gt;"",C35&lt;C31)</formula>
    </cfRule>
  </conditionalFormatting>
  <conditionalFormatting sqref="G33">
    <cfRule type="expression" dxfId="130" priority="57" stopIfTrue="1">
      <formula>OR(G33&gt;G30,AND(TODAY()&gt;G30,G33=""))</formula>
    </cfRule>
  </conditionalFormatting>
  <conditionalFormatting sqref="E32">
    <cfRule type="expression" dxfId="129" priority="58" stopIfTrue="1">
      <formula>E28&lt;&gt;0</formula>
    </cfRule>
  </conditionalFormatting>
  <conditionalFormatting sqref="E28">
    <cfRule type="expression" dxfId="128" priority="59" stopIfTrue="1">
      <formula>OR(L83=1,L83=4)</formula>
    </cfRule>
  </conditionalFormatting>
  <conditionalFormatting sqref="F29">
    <cfRule type="expression" dxfId="127" priority="60" stopIfTrue="1">
      <formula>F33&gt;L43</formula>
    </cfRule>
  </conditionalFormatting>
  <conditionalFormatting sqref="F33">
    <cfRule type="expression" dxfId="126" priority="61" stopIfTrue="1">
      <formula>F33&gt;L43</formula>
    </cfRule>
    <cfRule type="expression" dxfId="125" priority="62" stopIfTrue="1">
      <formula>L79=2</formula>
    </cfRule>
  </conditionalFormatting>
  <conditionalFormatting sqref="F20">
    <cfRule type="cellIs" dxfId="124" priority="63" stopIfTrue="1" operator="equal">
      <formula>"Complet !"</formula>
    </cfRule>
    <cfRule type="expression" dxfId="123" priority="64" stopIfTrue="1">
      <formula>F22&lt;&gt;""</formula>
    </cfRule>
  </conditionalFormatting>
  <conditionalFormatting sqref="F21">
    <cfRule type="expression" dxfId="122" priority="65" stopIfTrue="1">
      <formula>F22&lt;&gt;""</formula>
    </cfRule>
  </conditionalFormatting>
  <conditionalFormatting sqref="F27">
    <cfRule type="cellIs" dxfId="121" priority="66" stopIfTrue="1" operator="equal">
      <formula>"Incohérence"</formula>
    </cfRule>
  </conditionalFormatting>
  <conditionalFormatting sqref="C51:C80">
    <cfRule type="expression" dxfId="120" priority="67" stopIfTrue="1">
      <formula>AND(A51&lt;&gt;"")</formula>
    </cfRule>
  </conditionalFormatting>
  <conditionalFormatting sqref="B29">
    <cfRule type="expression" dxfId="119" priority="68" stopIfTrue="1">
      <formula>(B34-B35)&lt;5</formula>
    </cfRule>
  </conditionalFormatting>
  <conditionalFormatting sqref="C34">
    <cfRule type="expression" dxfId="118" priority="69" stopIfTrue="1">
      <formula>AND(C34&lt;&gt;"",C34&lt;C31)</formula>
    </cfRule>
  </conditionalFormatting>
  <conditionalFormatting sqref="C29">
    <cfRule type="cellIs" dxfId="117" priority="70" stopIfTrue="1" operator="lessThan">
      <formula>C28</formula>
    </cfRule>
  </conditionalFormatting>
  <conditionalFormatting sqref="E33">
    <cfRule type="expression" dxfId="116" priority="71" stopIfTrue="1">
      <formula>E33&gt;E30</formula>
    </cfRule>
    <cfRule type="expression" dxfId="115" priority="72" stopIfTrue="1">
      <formula>AND(E28&lt;&gt;"",E28&lt;&gt;0)</formula>
    </cfRule>
  </conditionalFormatting>
  <conditionalFormatting sqref="E19">
    <cfRule type="cellIs" dxfId="114" priority="73" stopIfTrue="1" operator="notEqual">
      <formula>""</formula>
    </cfRule>
  </conditionalFormatting>
  <conditionalFormatting sqref="E17 E20:E21">
    <cfRule type="cellIs" dxfId="113" priority="74" stopIfTrue="1" operator="notEqual">
      <formula>""</formula>
    </cfRule>
  </conditionalFormatting>
  <conditionalFormatting sqref="G20">
    <cfRule type="expression" dxfId="112" priority="88" stopIfTrue="1">
      <formula>M29=1</formula>
    </cfRule>
  </conditionalFormatting>
  <conditionalFormatting sqref="C20">
    <cfRule type="expression" dxfId="111" priority="89" stopIfTrue="1">
      <formula>M28=1</formula>
    </cfRule>
  </conditionalFormatting>
  <conditionalFormatting sqref="F31">
    <cfRule type="expression" dxfId="110" priority="90" stopIfTrue="1">
      <formula>L29=1</formula>
    </cfRule>
  </conditionalFormatting>
  <conditionalFormatting sqref="G31">
    <cfRule type="expression" dxfId="109" priority="91" stopIfTrue="1">
      <formula>L30=1</formula>
    </cfRule>
  </conditionalFormatting>
  <conditionalFormatting sqref="D36:F36">
    <cfRule type="expression" dxfId="108" priority="11" stopIfTrue="1">
      <formula>L90=1</formula>
    </cfRule>
  </conditionalFormatting>
  <conditionalFormatting sqref="G36">
    <cfRule type="expression" dxfId="107" priority="10" stopIfTrue="1">
      <formula>L90=1</formula>
    </cfRule>
  </conditionalFormatting>
  <conditionalFormatting sqref="C34">
    <cfRule type="expression" dxfId="106" priority="8" stopIfTrue="1">
      <formula>AND(C34&lt;&gt;"",C34&lt;C31)</formula>
    </cfRule>
  </conditionalFormatting>
  <conditionalFormatting sqref="C35">
    <cfRule type="expression" dxfId="105" priority="7" stopIfTrue="1">
      <formula>AND(C35&lt;&gt;"",C35&lt;C31)</formula>
    </cfRule>
  </conditionalFormatting>
  <conditionalFormatting sqref="C34">
    <cfRule type="expression" dxfId="104" priority="6" stopIfTrue="1">
      <formula>AND(C34&lt;&gt;"",C34&lt;C30)</formula>
    </cfRule>
  </conditionalFormatting>
  <conditionalFormatting sqref="C35">
    <cfRule type="expression" dxfId="103" priority="5" stopIfTrue="1">
      <formula>AND(C35&lt;&gt;"",C35&lt;C30)</formula>
    </cfRule>
  </conditionalFormatting>
  <conditionalFormatting sqref="E22">
    <cfRule type="expression" dxfId="102" priority="4">
      <formula>OR($E$22&gt;$E$19,AND(TODAY()&gt;$E$19,$E$22=""))</formula>
    </cfRule>
  </conditionalFormatting>
  <conditionalFormatting sqref="F25:G25">
    <cfRule type="expression" dxfId="101" priority="1" stopIfTrue="1">
      <formula>F25="Décision de l'autorité"</formula>
    </cfRule>
    <cfRule type="expression" dxfId="100" priority="2" stopIfTrue="1">
      <formula>F25="RS = décision"</formula>
    </cfRule>
    <cfRule type="expression" dxfId="99" priority="3" stopIfTrue="1">
      <formula>F25="Refus tacite"</formula>
    </cfRule>
  </conditionalFormatting>
  <dataValidations xWindow="278" yWindow="828" count="7">
    <dataValidation type="date" operator="greaterThan" allowBlank="1" showErrorMessage="1" errorTitle="Date erronée" error="La date que vous avez introduite est antérieure à la date d'introduction du dossier !" sqref="C22">
      <formula1>B22</formula1>
    </dataValidation>
    <dataValidation type="date" errorStyle="warning" operator="greaterThanOrEqual" allowBlank="1" showErrorMessage="1" errorTitle="Date erronée" error="L'envoi des compléments ne peut avoir lieu avant la réception de la demande de fourniture de ces compléments." sqref="E22">
      <formula1>D22</formula1>
    </dataValidation>
    <dataValidation type="date" operator="greaterThanOrEqual" allowBlank="1" showErrorMessage="1" errorTitle="Date erronée" error="On ne peut recevoir des compléments avant qu'ils n'aient été envoyés !" sqref="F22">
      <formula1>E22</formula1>
    </dataValidation>
    <dataValidation type="date" operator="greaterThanOrEqual" allowBlank="1" showErrorMessage="1" errorTitle="Date erronée" error="La date que vous avez introduite est antérieure à la date de réception des compléments !" sqref="G22">
      <formula1>F22</formula1>
    </dataValidation>
    <dataValidation type="date" operator="greaterThanOrEqual" allowBlank="1" showErrorMessage="1" errorTitle="Date erronée" error="On ne peut recevoir un courrier avant qu'il ait été envoyé !" sqref="D22">
      <formula1>C22</formula1>
    </dataValidation>
    <dataValidation type="whole" allowBlank="1" showErrorMessage="1" errorTitle="Erreur de classe" error="Seules les classes 1 et 2 sont possibles." sqref="L75">
      <formula1>1</formula1>
      <formula2>2</formula2>
    </dataValidation>
    <dataValidation type="whole" allowBlank="1" showErrorMessage="1" errorTitle="Erreur !" error="Vous devez encoder un nombre entier entre 0 et 20, ces deux valeurs comprises." sqref="B83">
      <formula1>0</formula1>
      <formula2>20</formula2>
    </dataValidation>
  </dataValidations>
  <printOptions horizontalCentered="1"/>
  <pageMargins left="0.59055118110236227" right="0.59055118110236227" top="0.78740157480314965" bottom="0.78740157480314965" header="0.51181102362204722" footer="0.51181102362204722"/>
  <pageSetup paperSize="9" scale="95" fitToHeight="2" orientation="portrait" r:id="rId1"/>
  <headerFooter alignWithMargins="0">
    <oddHeader>&amp;L&amp;"Bookman Old Style,Gras"&amp;8&amp;UDécret du 11 mars 1999&amp;C&amp;"Bookman Old Style,Gras"Délais 1&amp;Xère&amp;X instance&amp;R&amp;"Arial,Gras italique"&amp;8&amp;A</oddHeader>
    <oddFooter xml:space="preserve">&amp;L&amp;"Cambria,Normal"&amp;8Feuille créée à partir de l'application RGPE&amp;C&amp;"Calibri,Normal"&amp;8Dossiers introduits à partir du 4/12/2011
(Décret programme du 27/10/2011)&amp;R&amp;"Comic Sans MS,Gras"&amp;8Imprimé le &amp;D </oddFooter>
  </headerFooter>
  <ignoredErrors>
    <ignoredError sqref="D21:F21 E32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S57"/>
  <sheetViews>
    <sheetView workbookViewId="0">
      <selection activeCell="B22" sqref="B22"/>
    </sheetView>
  </sheetViews>
  <sheetFormatPr baseColWidth="10" defaultRowHeight="12.75"/>
  <cols>
    <col min="1" max="1" width="24" customWidth="1"/>
    <col min="2" max="7" width="11.28515625" customWidth="1"/>
    <col min="8" max="8" width="8.7109375" hidden="1" customWidth="1"/>
    <col min="9" max="9" width="32.85546875" style="1" hidden="1" customWidth="1"/>
    <col min="10" max="12" width="11.42578125" hidden="1" customWidth="1"/>
    <col min="13" max="13" width="19.140625" hidden="1" customWidth="1"/>
    <col min="14" max="19" width="11.42578125" hidden="1" customWidth="1"/>
  </cols>
  <sheetData>
    <row r="2" spans="1:19" ht="13.5" customHeight="1">
      <c r="A2" s="141" t="s">
        <v>0</v>
      </c>
      <c r="B2" s="5" t="str">
        <f ca="1">IF(AND(Demande!B1&lt;&gt;"",OR(Demande!L74=TRUE,J24=0)),Demande!B1,"")</f>
        <v/>
      </c>
      <c r="C2" s="141"/>
      <c r="D2" s="141"/>
      <c r="E2" s="141"/>
      <c r="F2" s="141" t="s">
        <v>976</v>
      </c>
      <c r="G2" s="207" t="str">
        <f ca="1">IF(AND(Demande!G1&lt;&gt;"",OR(Demande!L74=TRUE,J24=0)),Demande!G1,"")</f>
        <v/>
      </c>
      <c r="I2" s="29" t="b">
        <v>0</v>
      </c>
    </row>
    <row r="3" spans="1:19" ht="13.5" customHeight="1">
      <c r="A3" s="2" t="s">
        <v>1</v>
      </c>
      <c r="B3" s="5" t="str">
        <f ca="1">IF(AND(Demande!B2&lt;&gt;"",OR(Demande!L74=TRUE,J24=0)),Demande!B2,"")</f>
        <v/>
      </c>
      <c r="C3" s="2"/>
      <c r="D3" s="2"/>
      <c r="E3" s="2"/>
      <c r="F3" s="2"/>
      <c r="G3" s="2"/>
      <c r="I3" s="29" t="b">
        <v>0</v>
      </c>
    </row>
    <row r="4" spans="1:19" ht="13.5" customHeight="1">
      <c r="A4" s="4" t="s">
        <v>2</v>
      </c>
      <c r="B4" s="5" t="str">
        <f ca="1">IF(AND(Demande!B3&lt;&gt;"",OR(Demande!L74=TRUE,J24=0)),Demande!B3,"")</f>
        <v/>
      </c>
      <c r="C4" s="5"/>
      <c r="D4" s="5"/>
      <c r="E4" s="5"/>
      <c r="F4" s="5"/>
      <c r="G4" s="5"/>
    </row>
    <row r="5" spans="1:19" ht="13.5" customHeight="1">
      <c r="A5" s="4" t="s">
        <v>3</v>
      </c>
      <c r="B5" s="5" t="str">
        <f ca="1">IF(AND(Demande!B4&lt;&gt;"",OR(Demande!L74=TRUE,J24=0)),Demande!B4,"")</f>
        <v/>
      </c>
      <c r="C5" s="5"/>
      <c r="D5" s="5"/>
      <c r="E5" s="5"/>
      <c r="F5" s="2"/>
      <c r="G5" s="2"/>
    </row>
    <row r="6" spans="1:19" ht="13.5" customHeight="1">
      <c r="A6" s="4" t="s">
        <v>5</v>
      </c>
      <c r="B6" s="5" t="str">
        <f ca="1">IF(AND(Demande!B5&lt;&gt;"",OR(Demande!L74=TRUE,J24=0)),Demande!B5,"")</f>
        <v/>
      </c>
      <c r="C6" s="5"/>
      <c r="D6" s="5"/>
      <c r="E6" s="5"/>
      <c r="F6" s="2"/>
      <c r="G6" s="2"/>
      <c r="M6" s="17"/>
      <c r="N6" s="180" t="s">
        <v>1016</v>
      </c>
      <c r="O6" s="81"/>
      <c r="P6" s="1"/>
      <c r="Q6" s="180" t="s">
        <v>1021</v>
      </c>
      <c r="R6" s="81"/>
      <c r="S6" s="1"/>
    </row>
    <row r="7" spans="1:19" ht="29.1" customHeight="1">
      <c r="A7" s="11" t="s">
        <v>7</v>
      </c>
      <c r="B7" s="373" t="str">
        <f ca="1">IF(AND(Demande!B6&lt;&gt;"",OR(Demande!L74=TRUE,J24=0)),Demande!B6,"")</f>
        <v/>
      </c>
      <c r="C7" s="374"/>
      <c r="D7" s="374"/>
      <c r="E7" s="374"/>
      <c r="F7" s="374"/>
      <c r="G7" s="374"/>
      <c r="M7" s="64"/>
      <c r="N7" s="181" t="s">
        <v>81</v>
      </c>
      <c r="O7" s="25" t="e">
        <f ca="1">IF(AND(J24=1,B20&lt;&gt;""),B20+Demande!M31,C12+Demande!M31)</f>
        <v>#VALUE!</v>
      </c>
      <c r="P7" s="64" t="e">
        <f ca="1">TEXT(O7,"jjjj")</f>
        <v>#VALUE!</v>
      </c>
      <c r="Q7" s="181" t="s">
        <v>81</v>
      </c>
      <c r="R7" s="25" t="str">
        <f>IF(D20&lt;&gt;"",D20+Demande!M32,"")</f>
        <v/>
      </c>
      <c r="S7" s="64" t="str">
        <f>TEXT(R7,"jjjj")</f>
        <v/>
      </c>
    </row>
    <row r="8" spans="1:19" ht="13.5" customHeight="1" thickBot="1">
      <c r="A8" s="11"/>
      <c r="B8" s="139"/>
      <c r="C8" s="139"/>
      <c r="D8" s="139"/>
      <c r="E8" s="139"/>
      <c r="F8" s="139"/>
      <c r="G8" s="139"/>
      <c r="I8" s="64"/>
      <c r="M8" s="1"/>
      <c r="N8" s="182" t="s">
        <v>24</v>
      </c>
      <c r="O8" s="22" t="s">
        <v>25</v>
      </c>
      <c r="P8" s="22" t="s">
        <v>26</v>
      </c>
      <c r="Q8" s="182" t="s">
        <v>24</v>
      </c>
      <c r="R8" s="22" t="s">
        <v>25</v>
      </c>
      <c r="S8" s="22" t="s">
        <v>26</v>
      </c>
    </row>
    <row r="9" spans="1:19" ht="18" customHeight="1">
      <c r="A9" s="2"/>
      <c r="B9" s="234" t="str">
        <f>IF(Demande!L74=TRUE,Demande!B14,"")</f>
        <v/>
      </c>
      <c r="C9" s="2"/>
      <c r="D9" s="2"/>
      <c r="E9" s="2"/>
      <c r="F9" s="234" t="str">
        <f>IF(Demande!L74=TRUE,Demande!D12,"")</f>
        <v/>
      </c>
      <c r="G9" s="2"/>
      <c r="I9" s="217">
        <f ca="1">IF(AND(J24=1,Demande!L74=TRUE,OR(J26=0,J27=1)),1,0)</f>
        <v>0</v>
      </c>
      <c r="M9" s="26">
        <v>37257</v>
      </c>
      <c r="N9" s="203" t="e">
        <f ca="1">DATE(YEAR(O7),1,1)</f>
        <v>#VALUE!</v>
      </c>
      <c r="O9" s="25" t="e">
        <f ca="1">DATE(YEAR(O7+1),1,1)</f>
        <v>#VALUE!</v>
      </c>
      <c r="P9" s="25" t="e">
        <f ca="1">DATE(YEAR(O7+2),1,1)</f>
        <v>#VALUE!</v>
      </c>
      <c r="Q9" s="203" t="e">
        <f>DATE(YEAR(R7),1,1)</f>
        <v>#VALUE!</v>
      </c>
      <c r="R9" s="25" t="e">
        <f>DATE(YEAR(R7+1),1,1)</f>
        <v>#VALUE!</v>
      </c>
      <c r="S9" s="25" t="e">
        <f>DATE(YEAR(R7+2),1,1)</f>
        <v>#VALUE!</v>
      </c>
    </row>
    <row r="10" spans="1:19" ht="18" customHeight="1">
      <c r="A10" s="2"/>
      <c r="B10" s="234" t="str">
        <f>IF(Demande!L74=TRUE,Demande!F13,"")</f>
        <v/>
      </c>
      <c r="C10" s="2"/>
      <c r="D10" s="2"/>
      <c r="E10" s="2"/>
      <c r="F10" s="234"/>
      <c r="G10" s="2"/>
      <c r="I10" s="223">
        <f ca="1">IF(AND(J24=1,Demande!L74=TRUE,J27=0,OR(AND(I3=TRUE,J21=1),AND(J21=0,E19&lt;&gt;"",E22&lt;&gt;""))),1,0)</f>
        <v>0</v>
      </c>
      <c r="M10" s="26">
        <v>37377</v>
      </c>
      <c r="N10" s="203" t="e">
        <f ca="1">DATE(YEAR(O7),5,1)</f>
        <v>#VALUE!</v>
      </c>
      <c r="O10" s="25" t="e">
        <f ca="1">DATE(YEAR(O7+1),5,1)</f>
        <v>#VALUE!</v>
      </c>
      <c r="P10" s="25" t="e">
        <f ca="1">DATE(YEAR(O7+2),5,1)</f>
        <v>#VALUE!</v>
      </c>
      <c r="Q10" s="203" t="e">
        <f>DATE(YEAR(R7),5,1)</f>
        <v>#VALUE!</v>
      </c>
      <c r="R10" s="25" t="e">
        <f>DATE(YEAR(R7+1),5,1)</f>
        <v>#VALUE!</v>
      </c>
      <c r="S10" s="25" t="e">
        <f>DATE(YEAR(R7+2),5,1)</f>
        <v>#VALUE!</v>
      </c>
    </row>
    <row r="11" spans="1:19" ht="18" customHeight="1" thickBot="1">
      <c r="A11" s="2"/>
      <c r="B11" s="2"/>
      <c r="C11" s="2"/>
      <c r="D11" s="2"/>
      <c r="E11" s="2"/>
      <c r="F11" s="234"/>
      <c r="G11" s="2"/>
      <c r="I11" s="218">
        <f ca="1">IF(AND(J24=0,J27=0,J21=1,I3=TRUE),1,0)</f>
        <v>0</v>
      </c>
      <c r="M11" s="26">
        <v>37458</v>
      </c>
      <c r="N11" s="203" t="e">
        <f ca="1">DATE(YEAR(O7),7,21)</f>
        <v>#VALUE!</v>
      </c>
      <c r="O11" s="25" t="e">
        <f ca="1">DATE(YEAR(O7+1),7,21)</f>
        <v>#VALUE!</v>
      </c>
      <c r="P11" s="25" t="e">
        <f ca="1">DATE(YEAR(O7+2),7,21)</f>
        <v>#VALUE!</v>
      </c>
      <c r="Q11" s="203" t="e">
        <f>DATE(YEAR(R7),7,21)</f>
        <v>#VALUE!</v>
      </c>
      <c r="R11" s="25" t="e">
        <f>DATE(YEAR(R7+1),7,21)</f>
        <v>#VALUE!</v>
      </c>
      <c r="S11" s="25" t="e">
        <f>DATE(YEAR(R7+2),7,21)</f>
        <v>#VALUE!</v>
      </c>
    </row>
    <row r="12" spans="1:19" ht="18" customHeight="1" thickBot="1">
      <c r="A12" s="141" t="s">
        <v>1022</v>
      </c>
      <c r="B12" s="235" t="str">
        <f ca="1">TEXT(C12,"jjjj")</f>
        <v/>
      </c>
      <c r="C12" s="236" t="str">
        <f ca="1">IF(Demande!B20&lt;&gt;"",IF(Demande!C22="",IF(TODAY()&gt;Demande!G20,Demande!G20+1,IF(Demande!L74=TRUE,Demande!G20,"")),IF(Demande!F22="",IF(OR(Demande!L74=TRUE,Demande!C20&gt;Demande!C19),Demande!G20,""),IF(Demande!G22="",IF(TODAY()&gt;Demande!G20,Demande!G20+1,IF(Demande!L74=TRUE,Demande!G20,"")),IF(OR(Demande!L74=TRUE,Demande!G20&gt;Demande!G19),Demande!G20,"")))),"")</f>
        <v/>
      </c>
      <c r="D12" s="234" t="str">
        <f>IF(I2=TRUE,"Demande de reconsidération","")</f>
        <v/>
      </c>
      <c r="E12" s="234"/>
      <c r="F12" s="234"/>
      <c r="G12" s="234"/>
      <c r="I12" s="219">
        <f ca="1">IF(OR(I9=1,I10=1,I11=1),1,0)</f>
        <v>0</v>
      </c>
      <c r="M12" s="26">
        <v>37483</v>
      </c>
      <c r="N12" s="203" t="e">
        <f ca="1">DATE(YEAR(O7),8,15)</f>
        <v>#VALUE!</v>
      </c>
      <c r="O12" s="25" t="e">
        <f ca="1">DATE(YEAR(O7+1),8,15)</f>
        <v>#VALUE!</v>
      </c>
      <c r="P12" s="25" t="e">
        <f ca="1">DATE(YEAR(O7+2),8,15)</f>
        <v>#VALUE!</v>
      </c>
      <c r="Q12" s="203" t="e">
        <f>DATE(YEAR(R7),8,15)</f>
        <v>#VALUE!</v>
      </c>
      <c r="R12" s="25" t="e">
        <f>DATE(YEAR(R7+1),8,15)</f>
        <v>#VALUE!</v>
      </c>
      <c r="S12" s="25" t="e">
        <f>DATE(YEAR(R7+2),8,15)</f>
        <v>#VALUE!</v>
      </c>
    </row>
    <row r="13" spans="1:19" ht="18" customHeight="1" thickBot="1">
      <c r="A13" s="2"/>
      <c r="B13" s="2"/>
      <c r="C13" s="2"/>
      <c r="D13" s="234" t="str">
        <f ca="1">IF(I3=TRUE,"EIE confirmée",IF(AND(J22=1,E22&lt;&gt;""),"Demande d'EIE retirée",""))</f>
        <v/>
      </c>
      <c r="E13" s="234"/>
      <c r="F13" s="234"/>
      <c r="G13" s="2"/>
      <c r="I13" s="64"/>
      <c r="M13" s="26">
        <v>37561</v>
      </c>
      <c r="N13" s="203" t="e">
        <f ca="1">DATE(YEAR(O7),11,1)</f>
        <v>#VALUE!</v>
      </c>
      <c r="O13" s="25" t="e">
        <f ca="1">DATE(YEAR(O7+1),11,1)</f>
        <v>#VALUE!</v>
      </c>
      <c r="P13" s="25" t="e">
        <f ca="1">DATE(YEAR(O7+2),11,1)</f>
        <v>#VALUE!</v>
      </c>
      <c r="Q13" s="203" t="e">
        <f>DATE(YEAR(R7),11,1)</f>
        <v>#VALUE!</v>
      </c>
      <c r="R13" s="25" t="e">
        <f>DATE(YEAR(R7+1),11,1)</f>
        <v>#VALUE!</v>
      </c>
      <c r="S13" s="25" t="e">
        <f>DATE(YEAR(R7+2),11,1)</f>
        <v>#VALUE!</v>
      </c>
    </row>
    <row r="14" spans="1:19" ht="18" customHeight="1" thickBot="1">
      <c r="A14" s="2"/>
      <c r="B14" s="2"/>
      <c r="C14" s="2"/>
      <c r="D14" s="2"/>
      <c r="E14" s="2"/>
      <c r="F14" s="2"/>
      <c r="G14" s="2"/>
      <c r="I14" s="232">
        <f ca="1">IF(OR(J22&lt;&gt;0,J28&lt;&gt;0,J33&lt;&gt;0),IF(I3=FALSE,IF(AND(J22=1,F20&lt;&gt;""),F20-C12,IF(J28=1,Demande!M31,IF(J33=1,IF(E22="",IF(TODAY()&gt;E19,D22-C12+Demande!M32,0),IF(E22&gt;E19,Demande!M32,0)),Demande!M32))),0),0)</f>
        <v>0</v>
      </c>
      <c r="M14" s="26">
        <v>37571</v>
      </c>
      <c r="N14" s="203" t="e">
        <f ca="1">DATE(YEAR(O7),11,11)</f>
        <v>#VALUE!</v>
      </c>
      <c r="O14" s="25" t="e">
        <f ca="1">DATE(YEAR(O7+1),11,11)</f>
        <v>#VALUE!</v>
      </c>
      <c r="P14" s="25" t="e">
        <f ca="1">DATE(YEAR(O7+2),11,11)</f>
        <v>#VALUE!</v>
      </c>
      <c r="Q14" s="203" t="e">
        <f>DATE(YEAR(R7),11,11)</f>
        <v>#VALUE!</v>
      </c>
      <c r="R14" s="25" t="e">
        <f>DATE(YEAR(R7+1),11,11)</f>
        <v>#VALUE!</v>
      </c>
      <c r="S14" s="25" t="e">
        <f>DATE(YEAR(R7+2),11,11)</f>
        <v>#VALUE!</v>
      </c>
    </row>
    <row r="15" spans="1:19" ht="18" customHeight="1">
      <c r="A15" s="2"/>
      <c r="B15" s="2"/>
      <c r="C15" s="2"/>
      <c r="D15" s="2"/>
      <c r="E15" s="2"/>
      <c r="F15" s="2"/>
      <c r="G15" s="2"/>
      <c r="I15" s="64"/>
      <c r="M15" s="26">
        <v>37615</v>
      </c>
      <c r="N15" s="203" t="e">
        <f ca="1">DATE(YEAR(O7),12,25)</f>
        <v>#VALUE!</v>
      </c>
      <c r="O15" s="25" t="e">
        <f ca="1">DATE(YEAR(O7+1),12,25)</f>
        <v>#VALUE!</v>
      </c>
      <c r="P15" s="25" t="e">
        <f ca="1">DATE(YEAR(O7+2),12,25)</f>
        <v>#VALUE!</v>
      </c>
      <c r="Q15" s="203" t="e">
        <f>DATE(YEAR(R7),12,25)</f>
        <v>#VALUE!</v>
      </c>
      <c r="R15" s="25" t="e">
        <f>DATE(YEAR(R7+1),12,25)</f>
        <v>#VALUE!</v>
      </c>
      <c r="S15" s="25" t="e">
        <f>DATE(YEAR(R7+2),12,25)</f>
        <v>#VALUE!</v>
      </c>
    </row>
    <row r="16" spans="1:19" ht="54.75" thickBot="1">
      <c r="A16" s="2"/>
      <c r="B16" s="36" t="s">
        <v>1035</v>
      </c>
      <c r="C16" s="36" t="s">
        <v>1020</v>
      </c>
      <c r="D16" s="36" t="s">
        <v>1026</v>
      </c>
      <c r="E16" s="36" t="s">
        <v>1027</v>
      </c>
      <c r="F16" s="36" t="s">
        <v>1023</v>
      </c>
      <c r="G16" s="2"/>
      <c r="I16" s="64"/>
      <c r="M16" s="47" t="s">
        <v>43</v>
      </c>
      <c r="N16" s="212" t="e">
        <f ca="1">IF(O7&lt;&gt;N9,IF(O7&lt;&gt;N10,IF(O7&lt;&gt;N11,IF(O7&lt;&gt;N12,IF(O7&lt;&gt;N13,IF(O7&lt;&gt;N14,IF(O7&lt;&gt;N15,0,1),1),1),1),1),1),1)</f>
        <v>#VALUE!</v>
      </c>
      <c r="O16" s="70" t="e">
        <f ca="1">IF(O7+1&lt;&gt;O9,IF(O7+1&lt;&gt;O10,IF(O7+1&lt;&gt;O11,IF(O7+1&lt;&gt;O12,IF(O7+1&lt;&gt;O13,IF(O7+1&lt;&gt;O14,IF(O7+1&lt;&gt;O15,0,1),1),1),1),1),1),1)</f>
        <v>#VALUE!</v>
      </c>
      <c r="P16" s="70" t="e">
        <f ca="1">IF(O7+2&lt;&gt;P9,IF(O7+2&lt;&gt;P10,IF(O7+2&lt;&gt;P11,IF(O7+2&lt;&gt;P12,IF(O7+2&lt;&gt;P13,IF(O7+2&lt;&gt;P14,IF(O7+2&lt;&gt;P15,0,1),1),1),1),1),1),1)</f>
        <v>#VALUE!</v>
      </c>
      <c r="Q16" s="212" t="e">
        <f>IF(R7&lt;&gt;Q9,IF(R7&lt;&gt;Q10,IF(R7&lt;&gt;Q11,IF(R7&lt;&gt;Q12,IF(R7&lt;&gt;Q13,IF(R7&lt;&gt;Q14,IF(R7&lt;&gt;Q15,0,1),1),1),1),1),1),1)</f>
        <v>#VALUE!</v>
      </c>
      <c r="R16" s="70" t="e">
        <f>IF(R7+1&lt;&gt;R9,IF(R7+1&lt;&gt;R10,IF(R7+1&lt;&gt;R11,IF(R7+1&lt;&gt;R12,IF(R7+1&lt;&gt;R13,IF(R7+1&lt;&gt;R14,IF(R7+1&lt;&gt;R15,0,1),1),1),1),1),1),1)</f>
        <v>#VALUE!</v>
      </c>
      <c r="S16" s="70" t="e">
        <f>IF(R7+2&lt;&gt;S9,IF(R7+2&lt;&gt;S10,IF(R7+2&lt;&gt;S11,IF(R7+2&lt;&gt;S12,IF(R7+2&lt;&gt;S13,IF(R7+2&lt;&gt;S14,IF(R7+2&lt;&gt;S15,0,1),1),1),1),1),1),1)</f>
        <v>#VALUE!</v>
      </c>
    </row>
    <row r="17" spans="1:19" ht="15" customHeight="1">
      <c r="A17" s="4" t="s">
        <v>34</v>
      </c>
      <c r="B17" s="62"/>
      <c r="C17" s="39" t="str">
        <f ca="1">IF(OR(Demande!L74=TRUE,J24=0),Demande!M31+IF(C19&lt;&gt;"",N23,0),"")</f>
        <v/>
      </c>
      <c r="D17" s="62"/>
      <c r="E17" s="39" t="str">
        <f ca="1">IF(OR(Demande!L74=TRUE,J24=0),Demande!M32+IF(E19&lt;&gt;"",Q23,0),"")</f>
        <v/>
      </c>
      <c r="F17" s="62"/>
      <c r="G17" s="2"/>
      <c r="I17" s="214" t="s">
        <v>1024</v>
      </c>
      <c r="J17" s="224">
        <f ca="1">IF(OR(Demande!L74=TRUE,J24=0),1,0)</f>
        <v>0</v>
      </c>
      <c r="M17" s="19" t="s">
        <v>46</v>
      </c>
      <c r="N17" s="203" t="e">
        <f ca="1">DOLLAR((DAY(MINUTE(YEAR(O7)/38)/2+55)&amp;"/4/"&amp;YEAR(O7))/7,)*7-5</f>
        <v>#VALUE!</v>
      </c>
      <c r="O17" s="25" t="e">
        <f ca="1">DOLLAR((DAY(MINUTE(YEAR(O7+1)/38)/2+55)&amp;"/4/"&amp;YEAR(O7+1))/7,)*7-5</f>
        <v>#VALUE!</v>
      </c>
      <c r="P17" s="25" t="e">
        <f ca="1">DOLLAR((DAY(MINUTE(YEAR(O7+2)/38)/2+55)&amp;"/4/"&amp;YEAR(O7+2))/7,)*7-5</f>
        <v>#VALUE!</v>
      </c>
      <c r="Q17" s="203" t="e">
        <f>DOLLAR((DAY(MINUTE(YEAR(R7)/38)/2+55)&amp;"/4/"&amp;YEAR(R7))/7,)*7-5</f>
        <v>#VALUE!</v>
      </c>
      <c r="R17" s="25" t="e">
        <f>DOLLAR((DAY(MINUTE(YEAR(R7+1)/38)/2+55)&amp;"/4/"&amp;YEAR(R7+1))/7,)*7-5</f>
        <v>#VALUE!</v>
      </c>
      <c r="S17" s="25" t="e">
        <f>DOLLAR((DAY(MINUTE(YEAR(R7+2)/38)/2+55)&amp;"/4/"&amp;YEAR(R7+2))/7,)*7-5</f>
        <v>#VALUE!</v>
      </c>
    </row>
    <row r="18" spans="1:19" ht="15" customHeight="1">
      <c r="A18" s="4" t="s">
        <v>37</v>
      </c>
      <c r="B18" s="38"/>
      <c r="C18" s="62" t="str">
        <f ca="1">IF(C12&lt;&gt;"",IF(AND(B22&lt;&gt;"",C22&lt;&gt;"",J24=1),C22-B22,IF(C22&lt;&gt;"",C22-C12,"")),"")</f>
        <v/>
      </c>
      <c r="D18" s="62"/>
      <c r="E18" s="62" t="str">
        <f>IF(E22&lt;&gt;"",E22-D20,"")</f>
        <v/>
      </c>
      <c r="F18" s="62"/>
      <c r="G18" s="2"/>
      <c r="I18" s="221" t="s">
        <v>1028</v>
      </c>
      <c r="J18" s="225">
        <f>IF(I2=TRUE,1,0)</f>
        <v>0</v>
      </c>
      <c r="M18" s="19" t="s">
        <v>49</v>
      </c>
      <c r="N18" s="203" t="e">
        <f ca="1">DOLLAR((DAY(MINUTE(YEAR(O7)/38)/2+55)&amp;"/4/"&amp;YEAR(O7))/7,)*7+33</f>
        <v>#VALUE!</v>
      </c>
      <c r="O18" s="25" t="e">
        <f ca="1">DOLLAR((DAY(MINUTE(YEAR(O7+1)/38)/2+55)&amp;"/4/"&amp;YEAR(O7+1))/7,)*7+33</f>
        <v>#VALUE!</v>
      </c>
      <c r="P18" s="25" t="e">
        <f ca="1">DOLLAR((DAY(MINUTE(YEAR(O7+2)/38)/2+55)&amp;"/4/"&amp;YEAR(O7+2))/7,)*7+33</f>
        <v>#VALUE!</v>
      </c>
      <c r="Q18" s="203" t="e">
        <f>DOLLAR((DAY(MINUTE(YEAR(R7)/38)/2+55)&amp;"/4/"&amp;YEAR(R7))/7,)*7+33</f>
        <v>#VALUE!</v>
      </c>
      <c r="R18" s="25" t="e">
        <f>DOLLAR((DAY(MINUTE(YEAR(R7+1)/38)/2+55)&amp;"/4/"&amp;YEAR(R7+1))/7,)*7+33</f>
        <v>#VALUE!</v>
      </c>
      <c r="S18" s="25" t="e">
        <f>DOLLAR((DAY(MINUTE(YEAR(R7+2)/38)/2+55)&amp;"/4/"&amp;YEAR(R7+2))/7,)*7+33</f>
        <v>#VALUE!</v>
      </c>
    </row>
    <row r="19" spans="1:19" ht="15" customHeight="1">
      <c r="A19" s="208" t="s">
        <v>40</v>
      </c>
      <c r="B19" s="237"/>
      <c r="C19" s="238" t="str">
        <f ca="1">IF(C12&lt;&gt;"",O7+N23,"")</f>
        <v/>
      </c>
      <c r="D19" s="237"/>
      <c r="E19" s="238" t="str">
        <f ca="1">IF(OR(Demande!L74=TRUE,J24=0),IF(D20&lt;&gt;"",R7+Q23,""),"")</f>
        <v/>
      </c>
      <c r="F19" s="237"/>
      <c r="G19" s="2"/>
      <c r="I19" s="221" t="s">
        <v>1029</v>
      </c>
      <c r="J19" s="225">
        <f ca="1">IF(OR(AND(C22="",TODAY()&lt;=C19),AND(C22&lt;&gt;"",C22&lt;=C19)),1,0)</f>
        <v>1</v>
      </c>
      <c r="M19" s="19" t="s">
        <v>53</v>
      </c>
      <c r="N19" s="203" t="e">
        <f ca="1">DOLLAR((DAY(MINUTE(YEAR(O7)/38)/2+55)&amp;"/4/"&amp;YEAR(O7))/7,)*7+44</f>
        <v>#VALUE!</v>
      </c>
      <c r="O19" s="25" t="e">
        <f ca="1">DOLLAR((DAY(MINUTE(YEAR(O7+1)/38)/2+55)&amp;"/4/"&amp;YEAR(O7+1))/7,)*7+44</f>
        <v>#VALUE!</v>
      </c>
      <c r="P19" s="25" t="e">
        <f ca="1">DOLLAR((DAY(MINUTE(YEAR(O7+2)/38)/2+55)&amp;"/4/"&amp;YEAR(O7+2))/7,)*7+44</f>
        <v>#VALUE!</v>
      </c>
      <c r="Q19" s="203" t="e">
        <f>DOLLAR((DAY(MINUTE(YEAR(R7)/38)/2+55)&amp;"/4/"&amp;YEAR(R7))/7,)*7+44</f>
        <v>#VALUE!</v>
      </c>
      <c r="R19" s="25" t="e">
        <f>DOLLAR((DAY(MINUTE(YEAR(R7+1)/38)/2+55)&amp;"/4/"&amp;YEAR(R7+1))/7,)*7+44</f>
        <v>#VALUE!</v>
      </c>
      <c r="S19" s="25" t="e">
        <f>DOLLAR((DAY(MINUTE(YEAR(R7+2)/38)/2+55)&amp;"/4/"&amp;YEAR(R7+2))/7,)*7+44</f>
        <v>#VALUE!</v>
      </c>
    </row>
    <row r="20" spans="1:19" ht="15" customHeight="1">
      <c r="A20" s="4" t="s">
        <v>44</v>
      </c>
      <c r="B20" s="239" t="str">
        <f>IF(B22&lt;&gt;"",B22,"")</f>
        <v/>
      </c>
      <c r="C20" s="239" t="str">
        <f>IF(C22&lt;&gt;"",C22,"")</f>
        <v/>
      </c>
      <c r="D20" s="239" t="str">
        <f>IF(D22&lt;&gt;"",D22,"")</f>
        <v/>
      </c>
      <c r="E20" s="239" t="str">
        <f>IF(E22&lt;&gt;"",E22,"")</f>
        <v/>
      </c>
      <c r="F20" s="239" t="str">
        <f>IF(Demande!L79=2,E20,IF(F22&lt;&gt;"",F22,""))</f>
        <v/>
      </c>
      <c r="G20" s="2"/>
      <c r="I20" s="221" t="s">
        <v>1030</v>
      </c>
      <c r="J20" s="225">
        <f>IF(I3=FALSE,1,0)</f>
        <v>1</v>
      </c>
      <c r="M20" s="47" t="s">
        <v>35</v>
      </c>
      <c r="N20" s="212" t="e">
        <f ca="1">IF(O7&lt;&gt;N17,IF(O7&lt;&gt;N18,IF(O7&lt;&gt;N19,0,1),1),1)</f>
        <v>#VALUE!</v>
      </c>
      <c r="O20" s="70" t="e">
        <f ca="1">IF(O7+1&lt;&gt;O17,IF(O7+1&lt;&gt;O18,IF(O7+1&lt;&gt;O19,0,1),1),1)</f>
        <v>#VALUE!</v>
      </c>
      <c r="P20" s="70" t="e">
        <f ca="1">IF(O7+2&lt;&gt;P17,IF(O7+2&lt;&gt;P18,IF(O7+2&lt;&gt;P19,0,1),1),1)</f>
        <v>#VALUE!</v>
      </c>
      <c r="Q20" s="212" t="e">
        <f>IF(R7&lt;&gt;Q17,IF(R7&lt;&gt;Q18,IF(R7&lt;&gt;Q19,0,1),1),1)</f>
        <v>#VALUE!</v>
      </c>
      <c r="R20" s="70" t="e">
        <f>IF(R7+1&lt;&gt;R17,IF(R7+1&lt;&gt;R18,IF(R7+1&lt;&gt;R19,0,1),1),1)</f>
        <v>#VALUE!</v>
      </c>
      <c r="S20" s="70" t="e">
        <f>IF(R7+2&lt;&gt;S17,IF(R7+2&lt;&gt;S18,IF(R7+2&lt;&gt;S19,0,1),1),1)</f>
        <v>#VALUE!</v>
      </c>
    </row>
    <row r="21" spans="1:19" ht="15" customHeight="1">
      <c r="A21" s="4" t="s">
        <v>47</v>
      </c>
      <c r="B21" s="240" t="str">
        <f>IF(B20&lt;&gt;"",TEXT(B20,"jjjj"),"")</f>
        <v/>
      </c>
      <c r="C21" s="240" t="str">
        <f ca="1">IF(C20&lt;&gt;"",TEXT(C20,"jjjj"),IF(C19&lt;&gt;"",TEXT(C19,"jjjj"),""))</f>
        <v/>
      </c>
      <c r="D21" s="240" t="str">
        <f>IF(D20&lt;&gt;"",TEXT(D20,"jjjj"),"")</f>
        <v/>
      </c>
      <c r="E21" s="240" t="str">
        <f ca="1">IF(E20&lt;&gt;"",TEXT(E20,"jjjj"),IF(E19&lt;&gt;"",TEXT(E19,"jjjj"),""))</f>
        <v/>
      </c>
      <c r="F21" s="240" t="str">
        <f>IF(F20&lt;&gt;"",TEXT(F20,"jjjj"),"")</f>
        <v/>
      </c>
      <c r="G21" s="2"/>
      <c r="I21" s="215" t="s">
        <v>1034</v>
      </c>
      <c r="J21" s="226">
        <f ca="1">IF(OR(AND(E19&lt;&gt;"",E22="",TODAY()&lt;=E19),AND(E19&lt;&gt;"",E22&lt;&gt;"",E22&lt;=E19)),1,0)</f>
        <v>0</v>
      </c>
      <c r="M21" s="47" t="s">
        <v>57</v>
      </c>
      <c r="N21" s="185" t="e">
        <f t="shared" ref="N21:S21" ca="1" si="0">IF(OR(N16=1,N20=1),1,0)</f>
        <v>#VALUE!</v>
      </c>
      <c r="O21" s="58" t="e">
        <f t="shared" ca="1" si="0"/>
        <v>#VALUE!</v>
      </c>
      <c r="P21" s="58" t="e">
        <f t="shared" ca="1" si="0"/>
        <v>#VALUE!</v>
      </c>
      <c r="Q21" s="185" t="e">
        <f t="shared" si="0"/>
        <v>#VALUE!</v>
      </c>
      <c r="R21" s="58" t="e">
        <f t="shared" si="0"/>
        <v>#VALUE!</v>
      </c>
      <c r="S21" s="58" t="e">
        <f t="shared" si="0"/>
        <v>#VALUE!</v>
      </c>
    </row>
    <row r="22" spans="1:19" ht="15" customHeight="1" thickBot="1">
      <c r="A22" s="4" t="s">
        <v>50</v>
      </c>
      <c r="B22" s="56"/>
      <c r="C22" s="56"/>
      <c r="D22" s="56"/>
      <c r="E22" s="56"/>
      <c r="F22" s="56"/>
      <c r="G22" s="2"/>
      <c r="I22" s="216" t="s">
        <v>57</v>
      </c>
      <c r="J22" s="227">
        <f ca="1">IF(AND(J17=1,J18=1,J19=1,J20=1,J21=1),1,0)</f>
        <v>0</v>
      </c>
      <c r="M22" s="1"/>
      <c r="N22" s="1"/>
      <c r="O22" s="1"/>
      <c r="P22" s="1"/>
      <c r="Q22" s="1"/>
      <c r="R22" s="1"/>
      <c r="S22" s="1"/>
    </row>
    <row r="23" spans="1:19" ht="15" customHeight="1" thickBot="1">
      <c r="A23" s="2"/>
      <c r="B23" s="2"/>
      <c r="C23" s="2"/>
      <c r="D23" s="2"/>
      <c r="E23" s="241" t="str">
        <f>IF(D20&lt;&gt;"",IF(OR(Q34&lt;&gt;0,R39&lt;&gt;0,R41&lt;&gt;0),R34,""),"")</f>
        <v/>
      </c>
      <c r="F23" s="2"/>
      <c r="G23" s="2"/>
      <c r="M23" s="1" t="s">
        <v>63</v>
      </c>
      <c r="N23" s="101" t="e">
        <f ca="1">IF(AND(P7&lt;&gt;"samedi",P7&lt;&gt;"dimanche"),IF(AND(N21=1,P7="vendredi"),3,IF(AND(N21=1,P7="samedi"),2,IF(N21=1,1,0))),IF(AND(P7="samedi",P21=1),3,IF(P7="samedi",2,IF(AND(P7="dimanche",O21=1),2,1))))</f>
        <v>#VALUE!</v>
      </c>
      <c r="O23" s="1"/>
      <c r="P23" s="1"/>
      <c r="Q23" s="101" t="e">
        <f>IF(AND(S7&lt;&gt;"samedi",S7&lt;&gt;"dimanche"),IF(AND(Q21=1,S7="vendredi"),3,IF(AND(Q21=1,S7="samedi"),2,IF(Q21=1,1,0))),IF(AND(S7="samedi",S21=1),3,IF(S7="samedi",2,IF(AND(S7="dimanche",R21=1),2,1))))</f>
        <v>#VALUE!</v>
      </c>
      <c r="R23" s="1"/>
      <c r="S23" s="1"/>
    </row>
    <row r="24" spans="1:19" ht="15" customHeight="1" thickBot="1">
      <c r="A24" s="141" t="s">
        <v>1025</v>
      </c>
      <c r="B24" s="242" t="str">
        <f ca="1">IF(AND(OR(Demande!L74=TRUE,J24=0),Demande!L75=2,Demande!L76=FALSE),IF(C12&lt;&gt;"",I14,0),"Sans")</f>
        <v>Sans</v>
      </c>
      <c r="C24" s="243" t="str">
        <f ca="1">IF(B24="Sans","objet",IF(B24=0,"jour","jours"))</f>
        <v>objet</v>
      </c>
      <c r="D24" s="2"/>
      <c r="E24" s="2"/>
      <c r="F24" s="2"/>
      <c r="G24" s="2"/>
      <c r="I24" s="220" t="s">
        <v>1031</v>
      </c>
      <c r="J24" s="228">
        <f ca="1">IF(OR(K24=0,L24=0),0,1)</f>
        <v>1</v>
      </c>
      <c r="K24" s="6">
        <f ca="1">IF(OR(Demande!L83=2,Demande!L83=3,Demande!L83=6),IF(Demande!B20&lt;&gt;"",IF(OR(AND(Demande!C22="",TODAY()&gt;Demande!C19),Demande!C22&gt;Demande!C19),0,1),1),1)</f>
        <v>1</v>
      </c>
      <c r="L24" s="6">
        <f ca="1">IF(OR(Demande!L83=2,Demande!L83=3,Demande!L83=5,Demande!L83=6),IF(Demande!B20&lt;&gt;"",IF(AND(OR(AND(Demande!G22="",TODAY()&gt;Demande!G19),Demande!G22&gt;Demande!G19),Demande!F22&lt;&gt;"",Demande!C20&lt;=Demande!C19),0,1),1),1)</f>
        <v>1</v>
      </c>
    </row>
    <row r="25" spans="1:19" ht="15" customHeight="1" thickBot="1">
      <c r="A25" s="2"/>
      <c r="B25" s="2"/>
      <c r="C25" s="2"/>
      <c r="D25" s="2"/>
      <c r="E25" s="2"/>
      <c r="F25" s="2"/>
      <c r="G25" s="2"/>
      <c r="Q25" s="180" t="s">
        <v>1021</v>
      </c>
      <c r="R25" s="81"/>
    </row>
    <row r="26" spans="1:19" ht="15" customHeight="1" thickBot="1">
      <c r="A26" s="141" t="s">
        <v>1032</v>
      </c>
      <c r="B26" s="375" t="str">
        <f>IF(Demande!B22&lt;&gt;"",IF(OR(Demande!L74=TRUE,J24=0),IF(I12=1,"Nouvelle demande avec EIE",IF(AND(B24&lt;&gt;0,B24&lt;&gt;Demande!M31,B24&lt;&gt;Demande!M32),"Reprise de la procédure","Poursuite de la procédure")),"Pas d'EIE demandée"),"")</f>
        <v/>
      </c>
      <c r="C26" s="376"/>
      <c r="D26" s="377"/>
      <c r="E26" s="2"/>
      <c r="F26" s="2"/>
      <c r="G26" s="2"/>
      <c r="I26" s="214" t="s">
        <v>1028</v>
      </c>
      <c r="J26" s="224">
        <f>IF(I2=TRUE,1,0)</f>
        <v>0</v>
      </c>
      <c r="Q26" s="181" t="s">
        <v>81</v>
      </c>
      <c r="R26" s="82" t="e">
        <f>R7+Q23</f>
        <v>#VALUE!</v>
      </c>
      <c r="S26" s="83" t="e">
        <f>(TEXT(R26,"jjjj"))</f>
        <v>#VALUE!</v>
      </c>
    </row>
    <row r="27" spans="1:19" ht="15" customHeight="1">
      <c r="A27" s="141"/>
      <c r="B27" s="141"/>
      <c r="C27" s="141"/>
      <c r="D27" s="141"/>
      <c r="E27" s="141"/>
      <c r="F27" s="141"/>
      <c r="G27" s="2"/>
      <c r="I27" s="215" t="s">
        <v>1033</v>
      </c>
      <c r="J27" s="229">
        <f ca="1">IF(AND(I2=TRUE,OR(AND(C22="",TODAY()&gt;C19),AND(C22&lt;&gt;"",C22&gt;C19))),1,0)</f>
        <v>0</v>
      </c>
      <c r="Q27" s="182" t="s">
        <v>24</v>
      </c>
      <c r="R27" s="22" t="s">
        <v>84</v>
      </c>
      <c r="S27" s="22" t="s">
        <v>85</v>
      </c>
    </row>
    <row r="28" spans="1:19" ht="15" customHeight="1" thickBot="1">
      <c r="A28" s="1"/>
      <c r="B28" s="1"/>
      <c r="C28" s="1"/>
      <c r="D28" s="1"/>
      <c r="E28" s="1"/>
      <c r="F28" s="1"/>
      <c r="I28" s="216" t="s">
        <v>57</v>
      </c>
      <c r="J28" s="230">
        <f ca="1">IF(J24=0,IF(OR(J26=0,J27=1),1,0),0)</f>
        <v>0</v>
      </c>
      <c r="Q28" s="89" t="e">
        <f>DATE(YEAR(R26),1,2)</f>
        <v>#VALUE!</v>
      </c>
      <c r="R28" s="82" t="e">
        <f>DATE(YEAR(R26-1),1,2)</f>
        <v>#VALUE!</v>
      </c>
      <c r="S28" s="90" t="e">
        <f>DATE(YEAR(R26-2),1,2)</f>
        <v>#VALUE!</v>
      </c>
    </row>
    <row r="29" spans="1:19" ht="15" customHeight="1" thickBot="1">
      <c r="A29" s="1"/>
      <c r="B29" s="378"/>
      <c r="C29" s="378"/>
      <c r="D29" s="378"/>
      <c r="E29" s="1"/>
      <c r="F29" s="1"/>
      <c r="I29" s="64"/>
      <c r="J29" s="25"/>
      <c r="Q29" s="89" t="e">
        <f>DATE(YEAR(R26),9,27)</f>
        <v>#VALUE!</v>
      </c>
      <c r="R29" s="82" t="e">
        <f>DATE(YEAR(R26-1),9,27)</f>
        <v>#VALUE!</v>
      </c>
      <c r="S29" s="90" t="e">
        <f>DATE(YEAR(R26-2),9,27)</f>
        <v>#VALUE!</v>
      </c>
    </row>
    <row r="30" spans="1:19" ht="13.5" customHeight="1">
      <c r="A30" s="1"/>
      <c r="B30" s="231"/>
      <c r="C30" s="1"/>
      <c r="D30" s="1"/>
      <c r="E30" s="1"/>
      <c r="F30" s="1"/>
      <c r="I30" s="214" t="s">
        <v>1028</v>
      </c>
      <c r="J30" s="224">
        <f>IF(I2=TRUE,1,0)</f>
        <v>0</v>
      </c>
      <c r="Q30" s="89" t="e">
        <f>DATE(YEAR(R26),11,2)</f>
        <v>#VALUE!</v>
      </c>
      <c r="R30" s="82" t="e">
        <f>DATE(YEAR(R26-1),11,2)</f>
        <v>#VALUE!</v>
      </c>
      <c r="S30" s="90" t="e">
        <f>DATE(YEAR(R26-2),11,2)</f>
        <v>#VALUE!</v>
      </c>
    </row>
    <row r="31" spans="1:19" ht="13.5" customHeight="1">
      <c r="A31" s="1"/>
      <c r="B31" s="222"/>
      <c r="C31" s="1"/>
      <c r="D31" s="1"/>
      <c r="E31" s="1"/>
      <c r="F31" s="1"/>
      <c r="I31" s="221" t="s">
        <v>1029</v>
      </c>
      <c r="J31" s="225">
        <f ca="1">IF(OR(AND(C22="",TODAY()&lt;=C19),AND(C22&lt;&gt;"",C22&lt;=C19)),1,0)</f>
        <v>1</v>
      </c>
      <c r="Q31" s="89" t="e">
        <f>DATE(YEAR(R26),11,15)</f>
        <v>#VALUE!</v>
      </c>
      <c r="R31" s="82" t="e">
        <f>DATE(YEAR(R26-1),11,15)</f>
        <v>#VALUE!</v>
      </c>
      <c r="S31" s="90" t="e">
        <f>DATE(YEAR(R26-2),11,15)</f>
        <v>#VALUE!</v>
      </c>
    </row>
    <row r="32" spans="1:19" ht="13.5" customHeight="1">
      <c r="A32" s="1"/>
      <c r="B32" s="222"/>
      <c r="C32" s="1"/>
      <c r="D32" s="1"/>
      <c r="E32" s="1"/>
      <c r="F32" s="1"/>
      <c r="I32" s="215" t="s">
        <v>1036</v>
      </c>
      <c r="J32" s="226">
        <f ca="1">IF(OR(AND(E19&lt;&gt;"",E22="",TODAY()&gt;E19),AND(E19&lt;&gt;"",E22&lt;&gt;"",E22&gt;E19)),0,1)</f>
        <v>1</v>
      </c>
      <c r="K32" s="167"/>
      <c r="Q32" s="89" t="e">
        <f>DATE(YEAR(R26),12,26)</f>
        <v>#VALUE!</v>
      </c>
      <c r="R32" s="82" t="e">
        <f>DATE(YEAR(R26-1),12,26)</f>
        <v>#VALUE!</v>
      </c>
      <c r="S32" s="90" t="e">
        <f>DATE(YEAR(R26-2),12,26)</f>
        <v>#VALUE!</v>
      </c>
    </row>
    <row r="33" spans="1:19" ht="13.5" customHeight="1" thickBot="1">
      <c r="A33" s="1"/>
      <c r="B33" s="222"/>
      <c r="C33" s="1"/>
      <c r="D33" s="1"/>
      <c r="E33" s="1"/>
      <c r="F33" s="1"/>
      <c r="I33" s="216" t="s">
        <v>57</v>
      </c>
      <c r="J33" s="227">
        <f ca="1">IF(AND(J24=0,J30=1,J31=1,J32=0),1,0)</f>
        <v>0</v>
      </c>
      <c r="Q33" s="92" t="e">
        <f>IF(R26&lt;&gt;Q28,IF(R26&lt;&gt;Q29,IF(R26&lt;&gt;Q30,IF(R26&lt;&gt;Q31,IF(R26&lt;&gt;Q32,0,1),1),1),1),1)</f>
        <v>#VALUE!</v>
      </c>
      <c r="R33" s="93" t="e">
        <f>IF(R26-1&lt;&gt;R28,IF(R26-1&lt;&gt;R29,IF(R26-1&lt;&gt;R30,IF(R26-1&lt;&gt;R31,IF(R26-1&lt;&gt;R32,0,1),1),1),1),1)</f>
        <v>#VALUE!</v>
      </c>
      <c r="S33" s="94" t="e">
        <f>IF(R26-2&lt;&gt;S28,IF(R26-2&lt;&gt;S29,IF(R26-2&lt;&gt;S30,IF(R26-2&lt;&gt;S31,IF(R26-2&lt;&gt;S32,0,1),1),1),1),1)</f>
        <v>#VALUE!</v>
      </c>
    </row>
    <row r="34" spans="1:19" ht="13.5" customHeight="1">
      <c r="A34" s="1"/>
      <c r="B34" s="222"/>
      <c r="C34" s="1"/>
      <c r="D34" s="1"/>
      <c r="E34" s="1"/>
      <c r="F34" s="1"/>
      <c r="K34" s="205"/>
      <c r="Q34" s="101" t="e">
        <f>IF(AND(S26&lt;&gt;"samedi",S26&lt;&gt;"dimanche"),IF(AND(Q33=1,S26="lundi"),3,IF(Q33=1,1,0)),IF(AND(S26="samedi",R33=1),2,IF(S26="samedi",1,IF(AND(S26="dimanche",S33=1),3,2))))</f>
        <v>#VALUE!</v>
      </c>
      <c r="R34" s="82" t="e">
        <f>R26-IF(Q41=1,R41,IF(Q39=1,R39,Q34))</f>
        <v>#VALUE!</v>
      </c>
      <c r="S34" s="112"/>
    </row>
    <row r="35" spans="1:19" ht="13.5" customHeight="1">
      <c r="A35" s="1"/>
      <c r="B35" s="1"/>
      <c r="C35" s="1"/>
      <c r="D35" s="1"/>
      <c r="E35" s="1"/>
      <c r="F35" s="1"/>
      <c r="K35" s="167"/>
      <c r="Q35" s="110"/>
      <c r="R35" s="110"/>
      <c r="S35" s="110"/>
    </row>
    <row r="36" spans="1:19" ht="13.5" customHeight="1">
      <c r="A36" s="1"/>
      <c r="B36" s="1"/>
      <c r="C36" s="1"/>
      <c r="D36" s="1"/>
      <c r="E36" s="1"/>
      <c r="F36" s="1"/>
      <c r="K36" s="167"/>
      <c r="Q36" s="118" t="e">
        <f>DATE(YEAR(R26),1,2)</f>
        <v>#VALUE!</v>
      </c>
    </row>
    <row r="37" spans="1:19" ht="13.5" customHeight="1">
      <c r="A37" s="1"/>
      <c r="B37" s="1"/>
      <c r="C37" s="1"/>
      <c r="D37" s="1"/>
      <c r="E37" s="1"/>
      <c r="F37" s="1"/>
      <c r="K37" s="167"/>
      <c r="Q37" s="118" t="e">
        <f>DATE(YEAR(R26),11,2)</f>
        <v>#VALUE!</v>
      </c>
      <c r="R37" s="110"/>
      <c r="S37" s="117"/>
    </row>
    <row r="38" spans="1:19" ht="13.5" customHeight="1">
      <c r="A38" s="1"/>
      <c r="B38" s="1"/>
      <c r="C38" s="1"/>
      <c r="D38" s="1"/>
      <c r="E38" s="1"/>
      <c r="F38" s="1"/>
      <c r="Q38" s="118" t="e">
        <f>DATE(YEAR(R26),12,26)</f>
        <v>#VALUE!</v>
      </c>
      <c r="R38" s="110"/>
      <c r="S38" s="117"/>
    </row>
    <row r="39" spans="1:19" ht="13.5" customHeight="1">
      <c r="A39" s="1"/>
      <c r="B39" s="1"/>
      <c r="C39" s="1"/>
      <c r="D39" s="1"/>
      <c r="E39" s="1"/>
      <c r="F39" s="1"/>
      <c r="K39" s="213"/>
      <c r="L39" s="213"/>
      <c r="Q39" s="119" t="e">
        <f>IF(R26&lt;&gt;Q36,IF(R26&lt;&gt;Q37,IF(R26&lt;&gt;Q38,0,1),1),1)</f>
        <v>#VALUE!</v>
      </c>
      <c r="R39" s="101" t="e">
        <f>IF(Q39=1,IF(AND(S26&lt;&gt;"lundi",S26&lt;&gt;"mardi"),2,IF(S26="lundi",3,4)),0)</f>
        <v>#VALUE!</v>
      </c>
      <c r="S39" s="111"/>
    </row>
    <row r="40" spans="1:19" ht="13.5" customHeight="1">
      <c r="A40" s="1"/>
      <c r="B40" s="1"/>
      <c r="C40" s="1"/>
      <c r="D40" s="1"/>
      <c r="E40" s="1"/>
      <c r="F40" s="1"/>
    </row>
    <row r="41" spans="1:19" ht="13.5" customHeight="1">
      <c r="A41" s="1"/>
      <c r="B41" s="1"/>
      <c r="C41" s="1"/>
      <c r="D41" s="1"/>
      <c r="E41" s="1"/>
      <c r="F41" s="1"/>
      <c r="K41" s="167"/>
      <c r="Q41" s="119" t="e">
        <f>IF(AND(MONTH(R26)=1,S26="lundi"),1,0)</f>
        <v>#VALUE!</v>
      </c>
      <c r="R41" s="101" t="e">
        <f>IF(AND(DAY(R26)=4,Q41=1),4,IF(AND(DAY(R26)=3,Q41=1),3,0))</f>
        <v>#VALUE!</v>
      </c>
    </row>
    <row r="42" spans="1:19" ht="13.5" customHeight="1">
      <c r="A42" s="1"/>
      <c r="B42" s="1"/>
      <c r="C42" s="1"/>
      <c r="D42" s="1"/>
      <c r="E42" s="1"/>
      <c r="F42" s="1"/>
    </row>
    <row r="43" spans="1:19" ht="13.5" customHeight="1">
      <c r="A43" s="1"/>
      <c r="B43" s="1"/>
      <c r="C43" s="1"/>
      <c r="D43" s="1"/>
      <c r="E43" s="1"/>
      <c r="F43" s="1"/>
    </row>
    <row r="44" spans="1:19" ht="13.5" customHeight="1">
      <c r="A44" s="1"/>
      <c r="B44" s="1"/>
      <c r="C44" s="1"/>
      <c r="D44" s="1"/>
      <c r="E44" s="1"/>
      <c r="F44" s="1"/>
    </row>
    <row r="45" spans="1:19" ht="13.5" customHeight="1">
      <c r="A45" s="1"/>
      <c r="B45" s="1"/>
      <c r="C45" s="1"/>
      <c r="D45" s="1"/>
      <c r="E45" s="1"/>
      <c r="F45" s="1"/>
      <c r="I45" s="175"/>
      <c r="J45" s="167"/>
      <c r="K45" s="167"/>
    </row>
    <row r="46" spans="1:19" ht="13.5" customHeight="1">
      <c r="A46" s="1"/>
      <c r="B46" s="1"/>
      <c r="C46" s="1"/>
      <c r="D46" s="1"/>
      <c r="E46" s="1"/>
      <c r="F46" s="1"/>
      <c r="I46" s="198"/>
      <c r="J46" s="198"/>
      <c r="K46" s="205"/>
    </row>
    <row r="47" spans="1:19" ht="13.5" customHeight="1">
      <c r="A47" s="1"/>
      <c r="B47" s="1"/>
      <c r="C47" s="1"/>
      <c r="D47" s="1"/>
      <c r="E47" s="1"/>
      <c r="F47" s="1"/>
      <c r="I47" s="17"/>
      <c r="J47" s="25"/>
      <c r="K47" s="167"/>
    </row>
    <row r="48" spans="1:19" ht="13.5" customHeight="1">
      <c r="A48" s="1"/>
      <c r="B48" s="1"/>
      <c r="C48" s="1"/>
      <c r="D48" s="1"/>
      <c r="E48" s="1"/>
      <c r="F48" s="1"/>
      <c r="I48" s="17"/>
      <c r="J48" s="25"/>
      <c r="K48" s="167"/>
    </row>
    <row r="49" spans="1:11" ht="13.5" customHeight="1">
      <c r="A49" s="1"/>
      <c r="B49" s="1"/>
      <c r="C49" s="1"/>
      <c r="D49" s="1"/>
      <c r="E49" s="1"/>
      <c r="F49" s="1"/>
      <c r="I49" s="64"/>
      <c r="J49" s="25"/>
      <c r="K49" s="167"/>
    </row>
    <row r="50" spans="1:11">
      <c r="A50" s="1"/>
      <c r="B50" s="1"/>
      <c r="C50" s="1"/>
      <c r="D50" s="1"/>
      <c r="E50" s="1"/>
      <c r="F50" s="1"/>
      <c r="J50" s="198"/>
      <c r="K50" s="167"/>
    </row>
    <row r="51" spans="1:11">
      <c r="A51" s="1"/>
      <c r="B51" s="1"/>
      <c r="C51" s="1"/>
      <c r="D51" s="1"/>
      <c r="E51" s="1"/>
      <c r="F51" s="1"/>
      <c r="I51" s="17"/>
      <c r="J51" s="1"/>
      <c r="K51" s="167"/>
    </row>
    <row r="52" spans="1:11">
      <c r="A52" s="1"/>
      <c r="B52" s="1"/>
      <c r="C52" s="1"/>
      <c r="D52" s="1"/>
      <c r="E52" s="1"/>
      <c r="F52" s="1"/>
      <c r="I52" s="17"/>
      <c r="J52" s="199"/>
      <c r="K52" s="167"/>
    </row>
    <row r="53" spans="1:11">
      <c r="A53" s="1"/>
      <c r="B53" s="1"/>
      <c r="C53" s="1"/>
      <c r="D53" s="1"/>
      <c r="E53" s="1"/>
      <c r="F53" s="1"/>
      <c r="I53" s="64"/>
      <c r="J53" s="25"/>
    </row>
    <row r="54" spans="1:11">
      <c r="A54" s="1"/>
      <c r="B54" s="1"/>
      <c r="C54" s="1"/>
      <c r="D54" s="1"/>
      <c r="E54" s="1"/>
      <c r="F54" s="1"/>
    </row>
    <row r="55" spans="1:11">
      <c r="A55" s="1"/>
      <c r="B55" s="1"/>
      <c r="C55" s="1"/>
      <c r="D55" s="1"/>
      <c r="E55" s="1"/>
      <c r="F55" s="1"/>
    </row>
    <row r="56" spans="1:11">
      <c r="A56" s="1"/>
      <c r="B56" s="1"/>
      <c r="C56" s="1"/>
      <c r="D56" s="1"/>
      <c r="E56" s="1"/>
      <c r="F56" s="1"/>
    </row>
    <row r="57" spans="1:11">
      <c r="A57" s="1"/>
      <c r="B57" s="1"/>
      <c r="C57" s="1"/>
      <c r="D57" s="1"/>
      <c r="E57" s="1"/>
      <c r="F57" s="1"/>
    </row>
  </sheetData>
  <sheetProtection sheet="1" objects="1" scenarios="1"/>
  <mergeCells count="3">
    <mergeCell ref="B7:G7"/>
    <mergeCell ref="B26:D26"/>
    <mergeCell ref="B29:D29"/>
  </mergeCells>
  <conditionalFormatting sqref="E22:F22">
    <cfRule type="expression" dxfId="98" priority="1" stopIfTrue="1">
      <formula>AND(E22&lt;&gt;"",E18&gt;E17)</formula>
    </cfRule>
  </conditionalFormatting>
  <conditionalFormatting sqref="E23">
    <cfRule type="cellIs" dxfId="97" priority="2" stopIfTrue="1" operator="notEqual">
      <formula>""</formula>
    </cfRule>
  </conditionalFormatting>
  <conditionalFormatting sqref="C18 B17 D17:D18 F17">
    <cfRule type="expression" dxfId="96" priority="3" stopIfTrue="1">
      <formula>C19="Complet !"</formula>
    </cfRule>
    <cfRule type="expression" dxfId="95" priority="4" stopIfTrue="1">
      <formula>AND(N13=1,B21&gt;B19,B21-B19&lt;2)</formula>
    </cfRule>
  </conditionalFormatting>
  <conditionalFormatting sqref="E18:F18">
    <cfRule type="expression" dxfId="94" priority="5" stopIfTrue="1">
      <formula>F18="Complet !"</formula>
    </cfRule>
    <cfRule type="expression" dxfId="93" priority="6" stopIfTrue="1">
      <formula>AND(Q14=1,E22&gt;E20,E22-E20&lt;2)</formula>
    </cfRule>
  </conditionalFormatting>
  <conditionalFormatting sqref="C22">
    <cfRule type="expression" dxfId="92" priority="7" stopIfTrue="1">
      <formula>AND(C22&lt;&gt;"",C22&gt;C19)</formula>
    </cfRule>
  </conditionalFormatting>
  <dataValidations count="1">
    <dataValidation type="custom" allowBlank="1" showInputMessage="1" showErrorMessage="1" errorTitle="Incohérence !" error="Pour encoder une date vous devez avoir coché &quot;Demande de reconsidération&quot;." sqref="C22">
      <formula1>IF(I2=TRUE,TRUE,FALSE)</formula1>
    </dataValidation>
  </dataValidations>
  <printOptions horizontalCentered="1"/>
  <pageMargins left="0.59055118110236227" right="0.59055118110236227" top="0.78740157480314965" bottom="0.78740157480314965" header="0.51181102362204722" footer="0.51181102362204722"/>
  <pageSetup paperSize="9" scale="95" fitToHeight="2" orientation="portrait" r:id="rId1"/>
  <headerFooter alignWithMargins="0">
    <oddHeader>&amp;L&amp;"Bookman Old Style,Gras"&amp;8&amp;UDécret du 11 mars 1999&amp;C&amp;"Bookman Old Style,Gras"Délais 1&amp;Xère&amp;X instance&amp;R&amp;"Arial,Gras italique"&amp;8Article D68 (EIE en classe 2)</oddHeader>
    <oddFooter xml:space="preserve">&amp;L&amp;"Cambria,Normal"&amp;8Feuille créée à partir de l'application RGPE&amp;C&amp;"Calibri,Normal"&amp;8Dossiers introduits à partir du 4/12/2011
(Décret programme du 27/10/2011)&amp;R&amp;"Comic Sans MS,Gras"&amp;8Imprimé le &amp;D 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X72"/>
  <sheetViews>
    <sheetView workbookViewId="0">
      <selection activeCell="A13" sqref="A13"/>
    </sheetView>
  </sheetViews>
  <sheetFormatPr baseColWidth="10" defaultRowHeight="12.75"/>
  <cols>
    <col min="1" max="1" width="24" customWidth="1"/>
    <col min="3" max="3" width="12.140625" customWidth="1"/>
    <col min="4" max="4" width="11" customWidth="1"/>
    <col min="5" max="5" width="5.7109375" customWidth="1"/>
    <col min="6" max="7" width="13.28515625" customWidth="1"/>
    <col min="8" max="8" width="8.7109375" customWidth="1"/>
    <col min="9" max="9" width="19.28515625" hidden="1" customWidth="1"/>
    <col min="10" max="11" width="11.42578125" hidden="1" customWidth="1"/>
    <col min="12" max="12" width="19.28515625" hidden="1" customWidth="1"/>
    <col min="13" max="16" width="11.42578125" hidden="1" customWidth="1"/>
    <col min="17" max="17" width="10.28515625" hidden="1" customWidth="1"/>
    <col min="18" max="24" width="11.42578125" hidden="1" customWidth="1"/>
  </cols>
  <sheetData>
    <row r="2" spans="1:24" ht="13.5" customHeight="1">
      <c r="A2" s="141" t="s">
        <v>0</v>
      </c>
      <c r="B2" s="76" t="str">
        <f>IF(Demande!L77=TRUE,IF(Demande!B1&lt;&gt;"",Demande!B1,""),"")</f>
        <v/>
      </c>
      <c r="C2" s="141"/>
      <c r="D2" s="141"/>
      <c r="E2" s="141"/>
      <c r="F2" s="141" t="s">
        <v>976</v>
      </c>
      <c r="G2" s="142" t="str">
        <f>IF(Demande!L77=TRUE,IF(Demande!G1&lt;&gt;"",Demande!G1,""),"")</f>
        <v/>
      </c>
    </row>
    <row r="3" spans="1:24" ht="13.5" customHeight="1">
      <c r="A3" s="2" t="s">
        <v>1</v>
      </c>
      <c r="B3" s="5" t="str">
        <f>IF(Demande!L77=TRUE,IF(Demande!B2&lt;&gt;"",Demande!B2,""),"")</f>
        <v/>
      </c>
      <c r="C3" s="2"/>
      <c r="D3" s="2"/>
      <c r="E3" s="2"/>
      <c r="F3" s="2"/>
      <c r="G3" s="2"/>
      <c r="I3" s="206">
        <f>MAX(I17,I21,I29,I33,I41,I45,I53,I57)</f>
        <v>0</v>
      </c>
    </row>
    <row r="4" spans="1:24" ht="13.5" customHeight="1">
      <c r="A4" s="4" t="s">
        <v>2</v>
      </c>
      <c r="B4" s="5" t="str">
        <f>IF(Demande!L77=TRUE,IF(Demande!B3&lt;&gt;"",Demande!B3,""),"")</f>
        <v/>
      </c>
      <c r="C4" s="5"/>
      <c r="D4" s="5"/>
      <c r="E4" s="5"/>
      <c r="F4" s="5"/>
      <c r="G4" s="5"/>
    </row>
    <row r="5" spans="1:24" ht="13.5" customHeight="1">
      <c r="A5" s="4" t="s">
        <v>3</v>
      </c>
      <c r="B5" s="5" t="str">
        <f>IF(Demande!L77=TRUE,IF(Demande!B4&lt;&gt;"",Demande!B4,""),"")</f>
        <v/>
      </c>
      <c r="C5" s="5"/>
      <c r="D5" s="5"/>
      <c r="E5" s="5"/>
      <c r="F5" s="2"/>
      <c r="G5" s="2"/>
    </row>
    <row r="6" spans="1:24" ht="13.5" customHeight="1">
      <c r="A6" s="4" t="s">
        <v>5</v>
      </c>
      <c r="B6" s="5" t="str">
        <f>IF(Demande!L77=TRUE,IF(Demande!B5&lt;&gt;"",Demande!B5,""),"")</f>
        <v/>
      </c>
      <c r="C6" s="5"/>
      <c r="D6" s="5"/>
      <c r="E6" s="5"/>
      <c r="F6" s="2"/>
      <c r="G6" s="2"/>
    </row>
    <row r="7" spans="1:24" ht="29.1" customHeight="1">
      <c r="A7" s="11" t="s">
        <v>7</v>
      </c>
      <c r="B7" s="373" t="str">
        <f>IF(Demande!L77=TRUE,IF(Demande!B6&lt;&gt;"",Demande!B6,""),"")</f>
        <v/>
      </c>
      <c r="C7" s="374"/>
      <c r="D7" s="374"/>
      <c r="E7" s="374"/>
      <c r="F7" s="374"/>
      <c r="G7" s="374"/>
    </row>
    <row r="8" spans="1:24" ht="13.5" customHeight="1">
      <c r="A8" s="109"/>
      <c r="B8" s="139"/>
      <c r="C8" s="139"/>
      <c r="D8" s="139"/>
      <c r="E8" s="139"/>
      <c r="F8" s="139"/>
      <c r="G8" s="139"/>
    </row>
    <row r="9" spans="1:24" ht="13.5" customHeight="1">
      <c r="B9" s="106" t="str">
        <f>IF(Demande!$L$77=TRUE,Demande!$B$14,"")</f>
        <v/>
      </c>
      <c r="F9" s="106"/>
      <c r="I9" s="321"/>
      <c r="T9" s="53"/>
    </row>
    <row r="10" spans="1:24" ht="13.5" customHeight="1">
      <c r="C10" s="106"/>
      <c r="F10" s="106" t="str">
        <f>IF(Demande!L77=TRUE,IF(Demande!L83=6,"Etablissement SEVESO",""),"")</f>
        <v/>
      </c>
      <c r="T10" s="32"/>
    </row>
    <row r="11" spans="1:24" ht="13.5" customHeight="1">
      <c r="F11" s="106"/>
    </row>
    <row r="12" spans="1:24" ht="13.5" customHeight="1">
      <c r="F12" s="106"/>
    </row>
    <row r="13" spans="1:24" ht="13.5" customHeight="1">
      <c r="A13" s="3"/>
      <c r="B13" s="381" t="s">
        <v>1057</v>
      </c>
      <c r="C13" s="382"/>
      <c r="D13" s="383"/>
    </row>
    <row r="14" spans="1:24" ht="13.5" customHeight="1">
      <c r="B14" s="161" t="str">
        <f>IF(AND(Demande!$L$77=TRUE,A13&lt;&gt;""),"Début enquête","")</f>
        <v/>
      </c>
      <c r="C14" s="161" t="str">
        <f>IF(AND(Demande!$L$77=TRUE,A13&lt;&gt;""),"Fin enquête","")</f>
        <v/>
      </c>
      <c r="D14" s="161" t="str">
        <f>IF(AND(Demande!$L$77=TRUE,A13&lt;&gt;""),"PV enquête","")</f>
        <v/>
      </c>
      <c r="F14" s="384" t="str">
        <f>IF(AND(Demande!$L$77=TRUE,A13&lt;&gt;""),"Demande enquête publique","")</f>
        <v/>
      </c>
      <c r="G14" s="385"/>
      <c r="I14" s="198" t="s">
        <v>1011</v>
      </c>
      <c r="J14" s="198" t="s">
        <v>1012</v>
      </c>
      <c r="K14" s="6"/>
      <c r="M14" s="81" t="s">
        <v>1073</v>
      </c>
      <c r="N14" s="81"/>
      <c r="O14" s="81"/>
      <c r="P14" s="81" t="s">
        <v>1070</v>
      </c>
      <c r="Q14" s="81"/>
      <c r="R14" s="81"/>
      <c r="S14" s="81" t="s">
        <v>1071</v>
      </c>
      <c r="T14" s="81"/>
      <c r="U14" s="81"/>
      <c r="V14" s="81" t="s">
        <v>1072</v>
      </c>
      <c r="W14" s="81"/>
      <c r="X14" s="81"/>
    </row>
    <row r="15" spans="1:24" ht="13.5" customHeight="1">
      <c r="A15" s="4" t="s">
        <v>1058</v>
      </c>
      <c r="B15" s="41" t="str">
        <f>IF(AND(Demande!$L$77=TRUE,A13&lt;&gt;""),Demande!$M$18+Demande!$M$19,"")</f>
        <v/>
      </c>
      <c r="C15" s="41" t="str">
        <f>IF(AND(Demande!$L$77=TRUE,A13&lt;&gt;""),IF(OR(Demande!$L$83=3,Demande!$L$83=5,Demande!$L$83=6),IF(OR(Demande!$L$75=1,Demande!$L$76=TRUE),Demande!$M$16,Demande!$M$17)),"")</f>
        <v/>
      </c>
      <c r="D15" s="41" t="str">
        <f>IF(AND(Demande!$L$77=TRUE,A13&lt;&gt;""),Demande!$M$20,"")</f>
        <v/>
      </c>
      <c r="F15" s="149" t="str">
        <f>IF(AND(Demande!$L$77=TRUE,A13&lt;&gt;""),"Demande","")</f>
        <v/>
      </c>
      <c r="G15" s="140" t="str">
        <f>IF(AND(Demande!$L$77=TRUE,A13&lt;&gt;""),Demande!$G$20,"")</f>
        <v/>
      </c>
      <c r="I15" s="17" t="str">
        <f>IF(Demande!$B$20&lt;&gt;"",DATE(YEAR(J15),7,16),"")</f>
        <v/>
      </c>
      <c r="J15" s="25" t="str">
        <f ca="1">IF(Demande!$G$20&lt;&gt;"",IF(AND(G16&lt;&gt;"",B21=""),G16+Demande!$M$18+Demande!$M$19,IF(B21&lt;&gt;"",B21,B17)),"")</f>
        <v/>
      </c>
      <c r="K15" s="25" t="str">
        <f ca="1">IF(OR(AND(I17&lt;&gt;0,I17&lt;&gt;31),AND(I17=31,B17=I15)),I16+1,J15)</f>
        <v/>
      </c>
      <c r="M15" s="34" t="s">
        <v>81</v>
      </c>
      <c r="N15" s="25" t="str">
        <f>IF(Demande!B20&lt;&gt;"",IF(B17&lt;&gt;"",B17+C15+MAX(K17,K21),""),"")</f>
        <v/>
      </c>
      <c r="O15" s="83" t="str">
        <f>TEXT(N15,"jjjj")</f>
        <v/>
      </c>
      <c r="P15" s="34" t="s">
        <v>81</v>
      </c>
      <c r="Q15" s="25" t="str">
        <f>IF(Demande!B20&lt;&gt;"",IF(B29&lt;&gt;"",B29+C27+MAX(K29,K33),""),"")</f>
        <v/>
      </c>
      <c r="R15" s="83" t="str">
        <f>TEXT(Q15,"jjjj")</f>
        <v/>
      </c>
      <c r="S15" s="34" t="s">
        <v>81</v>
      </c>
      <c r="T15" s="25" t="str">
        <f>IF(Demande!B20&lt;&gt;"",IF(B41&lt;&gt;"",B41+C39+MAX(K41,K45),""),"")</f>
        <v/>
      </c>
      <c r="U15" s="83" t="str">
        <f>TEXT(T15,"jjjj")</f>
        <v/>
      </c>
      <c r="V15" s="34" t="s">
        <v>81</v>
      </c>
      <c r="W15" s="25" t="str">
        <f>IF(Demande!B20&lt;&gt;"",IF(B53&lt;&gt;"",B53+C51+MAX(K53,K57),""),"")</f>
        <v/>
      </c>
      <c r="X15" s="83" t="str">
        <f>TEXT(W15,"jjjj")</f>
        <v/>
      </c>
    </row>
    <row r="16" spans="1:24" ht="13.5" customHeight="1">
      <c r="A16" s="4" t="s">
        <v>37</v>
      </c>
      <c r="B16" s="43" t="str">
        <f>IF(A13&lt;&gt;"",IF(OR(Demande!L$83=3,Demande!$L$83=6),IF(B21&lt;&gt;"",B21-IF(G16&lt;&gt;"",G16,Demande!$G$20),""),""),"")</f>
        <v/>
      </c>
      <c r="C16" s="43" t="str">
        <f>IF(OR(Demande!$L$83=3,Demande!$L$83=6),IF(AND(B21&lt;&gt;"",C21&lt;&gt;""),C21-B21+1-M52-MAX(I17,I21),""),"")</f>
        <v/>
      </c>
      <c r="D16" s="43" t="str">
        <f>IF(Demande!$L$77=TRUE,IF(Demande!$B$20&lt;&gt;"",IF(D20&lt;&gt;"",D20-C22,""),""),"")</f>
        <v/>
      </c>
      <c r="F16" s="149" t="str">
        <f>IF(AND(Demande!$L$77=TRUE,A13&lt;&gt;""),"Réception","")</f>
        <v/>
      </c>
      <c r="G16" s="56"/>
      <c r="I16" s="17" t="str">
        <f>IF(Demande!$B$20&lt;&gt;"",I15+30,"")</f>
        <v/>
      </c>
      <c r="J16" s="25" t="str">
        <f>IF(B17&lt;&gt;"",N55+M72,"")</f>
        <v/>
      </c>
      <c r="M16" s="85" t="s">
        <v>24</v>
      </c>
      <c r="N16" s="85" t="s">
        <v>25</v>
      </c>
      <c r="O16" s="85" t="s">
        <v>26</v>
      </c>
      <c r="P16" s="85" t="s">
        <v>24</v>
      </c>
      <c r="Q16" s="85" t="s">
        <v>25</v>
      </c>
      <c r="R16" s="85" t="s">
        <v>26</v>
      </c>
      <c r="S16" s="85" t="s">
        <v>24</v>
      </c>
      <c r="T16" s="85" t="s">
        <v>25</v>
      </c>
      <c r="U16" s="85" t="s">
        <v>26</v>
      </c>
      <c r="V16" s="85" t="s">
        <v>24</v>
      </c>
      <c r="W16" s="85" t="s">
        <v>25</v>
      </c>
      <c r="X16" s="85" t="s">
        <v>26</v>
      </c>
    </row>
    <row r="17" spans="1:24" ht="13.5" customHeight="1">
      <c r="A17" s="208" t="s">
        <v>1050</v>
      </c>
      <c r="B17" s="46" t="str">
        <f>IF(A13&lt;&gt;"",IF(Demande!$G$20&lt;&gt;"",IF(OR(Demande!$L$83=3,Demande!$L$83=5,Demande!$L$83=6),IF(B22&lt;&gt;"",B22+Demande!$M$19,IF(G16&lt;&gt;"",G16+B15,Demande!$G$20+B15)),""),""),"")</f>
        <v/>
      </c>
      <c r="C17" s="46" t="str">
        <f>IF(A13&lt;&gt;"",IF(OR(Demande!$L$83=3,Demande!$L$83=6),IF(B17&lt;&gt;"",N15+M32,""),""),"")</f>
        <v/>
      </c>
      <c r="D17" s="46" t="str">
        <f>IF(A13&lt;&gt;"",IF(B17&lt;&gt;"",IF(OR(Demande!$L$83=3,Demande!$L$83=6),C17+D15,""),""),"")</f>
        <v/>
      </c>
      <c r="I17" s="64">
        <f>IF(Demande!$B$20&lt;&gt;"",IF(B17&lt;&gt;"",IF(AND(J15&lt;=I15,J16&gt;=I15),31,IF(AND(J15&gt;=I15,J16&lt;=I16),I16-J15+1,IF(AND(J15&gt;I15,J15&lt;=I16,J16&gt;=I16),I16-J15+1,0))),0),0)</f>
        <v>0</v>
      </c>
      <c r="J17" s="25" t="str">
        <f>IF(A13&lt;&gt;"",IF(Demande!$B$20&lt;&gt;"",IF(B21&lt;&gt;"",N35+M52,IF(B17&lt;&gt;"",N15+M32,""))),"")</f>
        <v/>
      </c>
      <c r="K17" s="322">
        <f>IF(Demande!$B$20&lt;&gt;"",IF(B17&lt;&gt;"",IF(AND(B17&lt;=I15,J16&gt;=I15),31,IF(AND(B17&gt;=I15,J16&lt;=I16),I16-B17+1,IF(AND(B17&gt;I15,B17&lt;=I16,J16&gt;=I16),I16-B17+1,0))),0),0)</f>
        <v>0</v>
      </c>
      <c r="L17" s="283">
        <v>37257</v>
      </c>
      <c r="M17" s="89" t="e">
        <f>DATE(YEAR(N15),1,1)</f>
        <v>#VALUE!</v>
      </c>
      <c r="N17" s="82" t="e">
        <f>DATE(YEAR(N15+1),1,1)</f>
        <v>#VALUE!</v>
      </c>
      <c r="O17" s="90" t="e">
        <f>DATE(YEAR(N15+2),1,1)</f>
        <v>#VALUE!</v>
      </c>
      <c r="P17" s="89" t="e">
        <f>DATE(YEAR(Q15),1,1)</f>
        <v>#VALUE!</v>
      </c>
      <c r="Q17" s="82" t="e">
        <f>DATE(YEAR(Q15+1),1,1)</f>
        <v>#VALUE!</v>
      </c>
      <c r="R17" s="90" t="e">
        <f>DATE(YEAR(Q15+2),1,1)</f>
        <v>#VALUE!</v>
      </c>
      <c r="S17" s="89" t="e">
        <f>DATE(YEAR(T15),1,1)</f>
        <v>#VALUE!</v>
      </c>
      <c r="T17" s="82" t="e">
        <f>DATE(YEAR(T15+1),1,1)</f>
        <v>#VALUE!</v>
      </c>
      <c r="U17" s="90" t="e">
        <f>DATE(YEAR(T15+2),1,1)</f>
        <v>#VALUE!</v>
      </c>
      <c r="V17" s="89" t="e">
        <f>DATE(YEAR(W15),1,1)</f>
        <v>#VALUE!</v>
      </c>
      <c r="W17" s="82" t="e">
        <f>DATE(YEAR(W15+1),1,1)</f>
        <v>#VALUE!</v>
      </c>
      <c r="X17" s="90" t="e">
        <f>DATE(YEAR(W15+2),1,1)</f>
        <v>#VALUE!</v>
      </c>
    </row>
    <row r="18" spans="1:24" ht="13.5" customHeight="1">
      <c r="A18" s="4" t="s">
        <v>44</v>
      </c>
      <c r="B18" s="50" t="str">
        <f>IF(A13&lt;&gt;"",IF(Demande!$B$20&lt;&gt;"",IF(OR(Demande!$L$83=3,Demande!$L$83=6),IF(B21="",B17,IF(I21&lt;&gt;0,K19,IF(I17&lt;&gt;0,K15,B21))),""),""),"")</f>
        <v/>
      </c>
      <c r="C18" s="50" t="str">
        <f>IF(A13&lt;&gt;"",IF(OR(Demande!$L$83=3,Demande!$L$83=6),IF(C21&lt;&gt;"",C21,IF(Demande!$G$20&lt;&gt;"",J17,"")),""),"")</f>
        <v/>
      </c>
      <c r="D18" s="50" t="str">
        <f>IF(A13&lt;&gt;"",IF(B18&lt;&gt;"",IF(Demande!$G$20&lt;&gt;"",IF(D20&lt;&gt;"",D20,C18+D15),""),""),"")</f>
        <v/>
      </c>
      <c r="F18" s="386" t="str">
        <f>IF(AND($I$3&gt;0,A13&lt;&gt;""),"Neutralisation de l'enquête","")</f>
        <v/>
      </c>
      <c r="G18" s="387"/>
      <c r="I18" s="1"/>
      <c r="J18" s="198" t="s">
        <v>1013</v>
      </c>
      <c r="L18" s="283">
        <v>37377</v>
      </c>
      <c r="M18" s="89" t="e">
        <f>DATE(YEAR(N15),5,1)</f>
        <v>#VALUE!</v>
      </c>
      <c r="N18" s="82" t="e">
        <f>DATE(YEAR(N15+1),5,1)</f>
        <v>#VALUE!</v>
      </c>
      <c r="O18" s="90" t="e">
        <f>DATE(YEAR(N15+2),5,1)</f>
        <v>#VALUE!</v>
      </c>
      <c r="P18" s="89" t="e">
        <f>DATE(YEAR(Q15),5,1)</f>
        <v>#VALUE!</v>
      </c>
      <c r="Q18" s="82" t="e">
        <f>DATE(YEAR(Q15+1),5,1)</f>
        <v>#VALUE!</v>
      </c>
      <c r="R18" s="90" t="e">
        <f>DATE(YEAR(Q15+2),5,1)</f>
        <v>#VALUE!</v>
      </c>
      <c r="S18" s="89" t="e">
        <f>DATE(YEAR(T15),5,1)</f>
        <v>#VALUE!</v>
      </c>
      <c r="T18" s="82" t="e">
        <f>DATE(YEAR(T15+1),5,1)</f>
        <v>#VALUE!</v>
      </c>
      <c r="U18" s="90" t="e">
        <f>DATE(YEAR(T15+2),5,1)</f>
        <v>#VALUE!</v>
      </c>
      <c r="V18" s="89" t="e">
        <f>DATE(YEAR(W15),5,1)</f>
        <v>#VALUE!</v>
      </c>
      <c r="W18" s="82" t="e">
        <f>DATE(YEAR(W15+1),5,1)</f>
        <v>#VALUE!</v>
      </c>
      <c r="X18" s="90" t="e">
        <f>DATE(YEAR(W15+2),5,1)</f>
        <v>#VALUE!</v>
      </c>
    </row>
    <row r="19" spans="1:24" ht="13.5" customHeight="1">
      <c r="A19" s="4" t="s">
        <v>47</v>
      </c>
      <c r="B19" s="50" t="str">
        <f>TEXT(B18,"jjjj")</f>
        <v/>
      </c>
      <c r="C19" s="50" t="str">
        <f>TEXT(C18,"jjjj")</f>
        <v/>
      </c>
      <c r="D19" s="50" t="str">
        <f>TEXT(D18,"jjjj")</f>
        <v/>
      </c>
      <c r="F19" s="379" t="str">
        <f>IF(I3&lt;&gt;0,IF(AND(Demande!$L$77=TRUE,A13&lt;&gt;""),CONCATENATE(MAX(I17,I21),IF(MAX(I17,I21)&lt;=1," jour"," jours")),""),"")</f>
        <v/>
      </c>
      <c r="G19" s="380"/>
      <c r="I19" s="17" t="str">
        <f>IF(Demande!$B$20&lt;&gt;"",IF(B22&lt;&gt;"",DATE(YEAR(B22),12,24),IF(B17&lt;&gt;"",DATE(YEAR(B17-1),12,24),"")),"")</f>
        <v/>
      </c>
      <c r="J19" s="25" t="str">
        <f>IF(Demande!$B$20&lt;&gt;"",IF(OR(Demande!$L$83=3,Demande!$L$83=6),IF(AND(J15&gt;=I19,J15&lt;=I20),I20+1,IF(B21&lt;&gt;"",B21,B17)),""),"")</f>
        <v/>
      </c>
      <c r="K19" s="25" t="str">
        <f>IF(AND(I21&lt;&gt;0,I21&lt;&gt;9),I20+1,J19)</f>
        <v/>
      </c>
      <c r="L19" s="283">
        <v>37458</v>
      </c>
      <c r="M19" s="89" t="e">
        <f>DATE(YEAR(N15),7,21)</f>
        <v>#VALUE!</v>
      </c>
      <c r="N19" s="82" t="e">
        <f>DATE(YEAR(N15+1),7,21)</f>
        <v>#VALUE!</v>
      </c>
      <c r="O19" s="90" t="e">
        <f>DATE(YEAR(N15+2),7,21)</f>
        <v>#VALUE!</v>
      </c>
      <c r="P19" s="89" t="e">
        <f>DATE(YEAR(Q15),7,21)</f>
        <v>#VALUE!</v>
      </c>
      <c r="Q19" s="82" t="e">
        <f>DATE(YEAR(Q15+1),7,21)</f>
        <v>#VALUE!</v>
      </c>
      <c r="R19" s="90" t="e">
        <f>DATE(YEAR(Q15+2),7,21)</f>
        <v>#VALUE!</v>
      </c>
      <c r="S19" s="89" t="e">
        <f>DATE(YEAR(T15),7,21)</f>
        <v>#VALUE!</v>
      </c>
      <c r="T19" s="82" t="e">
        <f>DATE(YEAR(T15+1),7,21)</f>
        <v>#VALUE!</v>
      </c>
      <c r="U19" s="90" t="e">
        <f>DATE(YEAR(T15+2),7,21)</f>
        <v>#VALUE!</v>
      </c>
      <c r="V19" s="89" t="e">
        <f>DATE(YEAR(W15),7,21)</f>
        <v>#VALUE!</v>
      </c>
      <c r="W19" s="82" t="e">
        <f>DATE(YEAR(W15+1),7,21)</f>
        <v>#VALUE!</v>
      </c>
      <c r="X19" s="90" t="e">
        <f>DATE(YEAR(W15+2),7,21)</f>
        <v>#VALUE!</v>
      </c>
    </row>
    <row r="20" spans="1:24" ht="13.5" customHeight="1">
      <c r="A20" s="260"/>
      <c r="B20" s="320" t="s">
        <v>1065</v>
      </c>
      <c r="C20" s="320" t="s">
        <v>1066</v>
      </c>
      <c r="D20" s="56"/>
      <c r="I20" s="17" t="str">
        <f>IF(Demande!$B$20&lt;&gt;"",IF(B17&lt;&gt;"",I19+8,""),"")</f>
        <v/>
      </c>
      <c r="J20" s="199"/>
      <c r="L20" s="283">
        <v>37483</v>
      </c>
      <c r="M20" s="89" t="e">
        <f>DATE(YEAR(N15),8,15)</f>
        <v>#VALUE!</v>
      </c>
      <c r="N20" s="82" t="e">
        <f>DATE(YEAR(N15+1),8,15)</f>
        <v>#VALUE!</v>
      </c>
      <c r="O20" s="90" t="e">
        <f>DATE(YEAR(N15+2),8,15)</f>
        <v>#VALUE!</v>
      </c>
      <c r="P20" s="89" t="e">
        <f>DATE(YEAR(Q15),8,15)</f>
        <v>#VALUE!</v>
      </c>
      <c r="Q20" s="82" t="e">
        <f>DATE(YEAR(Q15+1),8,15)</f>
        <v>#VALUE!</v>
      </c>
      <c r="R20" s="90" t="e">
        <f>DATE(YEAR(Q15+2),8,15)</f>
        <v>#VALUE!</v>
      </c>
      <c r="S20" s="89" t="e">
        <f>DATE(YEAR(T15),8,15)</f>
        <v>#VALUE!</v>
      </c>
      <c r="T20" s="82" t="e">
        <f>DATE(YEAR(T15+1),8,15)</f>
        <v>#VALUE!</v>
      </c>
      <c r="U20" s="90" t="e">
        <f>DATE(YEAR(T15+2),8,15)</f>
        <v>#VALUE!</v>
      </c>
      <c r="V20" s="89" t="e">
        <f>DATE(YEAR(W15),8,15)</f>
        <v>#VALUE!</v>
      </c>
      <c r="W20" s="82" t="e">
        <f>DATE(YEAR(W15+1),8,15)</f>
        <v>#VALUE!</v>
      </c>
      <c r="X20" s="90" t="e">
        <f>DATE(YEAR(W15+2),8,15)</f>
        <v>#VALUE!</v>
      </c>
    </row>
    <row r="21" spans="1:24" ht="13.5" customHeight="1">
      <c r="A21" s="319" t="s">
        <v>1051</v>
      </c>
      <c r="B21" s="56"/>
      <c r="C21" s="56"/>
      <c r="D21" s="66"/>
      <c r="I21" s="64">
        <f>IF(Demande!$B$20&lt;&gt;"",IF(B17&lt;&gt;"",IF(AND(J15&lt;=I19,J16&gt;=I19),9,IF(AND(J15&gt;=I19,J16&lt;=I20),I20-J15+1,IF(AND(J15&gt;I19,J15&lt;=I20,J16&gt;=I20),I20-J15+1,0))),0),0)</f>
        <v>0</v>
      </c>
      <c r="J21" s="25"/>
      <c r="K21" s="322">
        <f>IF(Demande!$B$20&lt;&gt;"",IF(B17&lt;&gt;"",IF(AND(B17&lt;=I19,J16&gt;=I19),9,IF(AND(B17&gt;=I19,J16&lt;=I20),I20-B17+1,IF(AND(B17&gt;I19,B17&lt;=I20,J16&gt;=I20),I20-B17+1,0))),0),0)</f>
        <v>0</v>
      </c>
      <c r="L21" s="283">
        <v>37561</v>
      </c>
      <c r="M21" s="89" t="e">
        <f>DATE(YEAR(N15),11,1)</f>
        <v>#VALUE!</v>
      </c>
      <c r="N21" s="82" t="e">
        <f>DATE(YEAR(N15+1),11,1)</f>
        <v>#VALUE!</v>
      </c>
      <c r="O21" s="90" t="e">
        <f>DATE(YEAR(N15+2),11,1)</f>
        <v>#VALUE!</v>
      </c>
      <c r="P21" s="89" t="e">
        <f>DATE(YEAR(Q15),11,1)</f>
        <v>#VALUE!</v>
      </c>
      <c r="Q21" s="82" t="e">
        <f>DATE(YEAR(Q15+1),11,1)</f>
        <v>#VALUE!</v>
      </c>
      <c r="R21" s="90" t="e">
        <f>DATE(YEAR(Q15+2),11,1)</f>
        <v>#VALUE!</v>
      </c>
      <c r="S21" s="89" t="e">
        <f>DATE(YEAR(T15),11,1)</f>
        <v>#VALUE!</v>
      </c>
      <c r="T21" s="82" t="e">
        <f>DATE(YEAR(T15+1),11,1)</f>
        <v>#VALUE!</v>
      </c>
      <c r="U21" s="90" t="e">
        <f>DATE(YEAR(T15+2),11,1)</f>
        <v>#VALUE!</v>
      </c>
      <c r="V21" s="89" t="e">
        <f>DATE(YEAR(W15),11,1)</f>
        <v>#VALUE!</v>
      </c>
      <c r="W21" s="82" t="e">
        <f>DATE(YEAR(W15+1),11,1)</f>
        <v>#VALUE!</v>
      </c>
      <c r="X21" s="90" t="e">
        <f>DATE(YEAR(W15+2),11,1)</f>
        <v>#VALUE!</v>
      </c>
    </row>
    <row r="22" spans="1:24" ht="13.5" customHeight="1">
      <c r="A22" s="319" t="s">
        <v>1067</v>
      </c>
      <c r="B22" s="56"/>
      <c r="C22" s="56"/>
      <c r="D22" s="1"/>
      <c r="L22" s="283">
        <v>37571</v>
      </c>
      <c r="M22" s="89" t="e">
        <f>DATE(YEAR(N15),11,11)</f>
        <v>#VALUE!</v>
      </c>
      <c r="N22" s="82" t="e">
        <f>DATE(YEAR(N15+1),11,11)</f>
        <v>#VALUE!</v>
      </c>
      <c r="O22" s="90" t="e">
        <f>DATE(YEAR(N15+2),11,11)</f>
        <v>#VALUE!</v>
      </c>
      <c r="P22" s="89" t="e">
        <f>DATE(YEAR(Q15),11,11)</f>
        <v>#VALUE!</v>
      </c>
      <c r="Q22" s="82" t="e">
        <f>DATE(YEAR(Q15+1),11,11)</f>
        <v>#VALUE!</v>
      </c>
      <c r="R22" s="90" t="e">
        <f>DATE(YEAR(Q15+2),11,11)</f>
        <v>#VALUE!</v>
      </c>
      <c r="S22" s="89" t="e">
        <f>DATE(YEAR(T15),11,11)</f>
        <v>#VALUE!</v>
      </c>
      <c r="T22" s="82" t="e">
        <f>DATE(YEAR(T15+1),11,11)</f>
        <v>#VALUE!</v>
      </c>
      <c r="U22" s="90" t="e">
        <f>DATE(YEAR(T15+2),11,11)</f>
        <v>#VALUE!</v>
      </c>
      <c r="V22" s="89" t="e">
        <f>DATE(YEAR(W15),11,11)</f>
        <v>#VALUE!</v>
      </c>
      <c r="W22" s="82" t="e">
        <f>DATE(YEAR(W15+1),11,11)</f>
        <v>#VALUE!</v>
      </c>
      <c r="X22" s="90" t="e">
        <f>DATE(YEAR(W15+2),11,11)</f>
        <v>#VALUE!</v>
      </c>
    </row>
    <row r="23" spans="1:24" ht="13.5" customHeight="1">
      <c r="A23" s="1"/>
      <c r="L23" s="283">
        <v>37615</v>
      </c>
      <c r="M23" s="89" t="e">
        <f>DATE(YEAR(N15),12,25)</f>
        <v>#VALUE!</v>
      </c>
      <c r="N23" s="82" t="e">
        <f>DATE(YEAR(N15+1),12,25)</f>
        <v>#VALUE!</v>
      </c>
      <c r="O23" s="90" t="e">
        <f>DATE(YEAR(N15+2),12,25)</f>
        <v>#VALUE!</v>
      </c>
      <c r="P23" s="89" t="e">
        <f>DATE(YEAR(Q15),12,25)</f>
        <v>#VALUE!</v>
      </c>
      <c r="Q23" s="82" t="e">
        <f>DATE(YEAR(Q15+1),12,25)</f>
        <v>#VALUE!</v>
      </c>
      <c r="R23" s="90" t="e">
        <f>DATE(YEAR(Q15+2),12,25)</f>
        <v>#VALUE!</v>
      </c>
      <c r="S23" s="89" t="e">
        <f>DATE(YEAR(T15),12,25)</f>
        <v>#VALUE!</v>
      </c>
      <c r="T23" s="82" t="e">
        <f>DATE(YEAR(T15+1),12,25)</f>
        <v>#VALUE!</v>
      </c>
      <c r="U23" s="90" t="e">
        <f>DATE(YEAR(T15+2),12,25)</f>
        <v>#VALUE!</v>
      </c>
      <c r="V23" s="89" t="e">
        <f>DATE(YEAR(W15),12,25)</f>
        <v>#VALUE!</v>
      </c>
      <c r="W23" s="82" t="e">
        <f>DATE(YEAR(W15+1),12,25)</f>
        <v>#VALUE!</v>
      </c>
      <c r="X23" s="90" t="e">
        <f>DATE(YEAR(W15+2),12,25)</f>
        <v>#VALUE!</v>
      </c>
    </row>
    <row r="24" spans="1:24" ht="13.5" customHeight="1">
      <c r="A24" s="261"/>
      <c r="B24" s="261"/>
      <c r="C24" s="261"/>
      <c r="D24" s="261"/>
      <c r="E24" s="261"/>
      <c r="F24" s="261"/>
      <c r="G24" s="261"/>
      <c r="H24" s="261"/>
      <c r="I24" s="261"/>
      <c r="J24" s="261"/>
      <c r="K24" s="261"/>
      <c r="L24" s="47" t="s">
        <v>43</v>
      </c>
      <c r="M24" s="92" t="e">
        <f>IF(N15&lt;&gt;M17,IF(N15&lt;&gt;M18,IF(N15&lt;&gt;M19,IF(N15&lt;&gt;M20,IF(N15&lt;&gt;M21,IF(N15&lt;&gt;M22,IF(N15&lt;&gt;M23,0,1),1),1),1),1),1),1)</f>
        <v>#VALUE!</v>
      </c>
      <c r="N24" s="93" t="e">
        <f>IF(N15+1&lt;&gt;N17,IF(N15+1&lt;&gt;N18,IF(N15+1&lt;&gt;N19,IF(N15+1&lt;&gt;N20,IF(N15+1&lt;&gt;N21,IF(N15+1&lt;&gt;N22,IF(N15+1&lt;&gt;N23,0,1),1),1),1),1),1),1)</f>
        <v>#VALUE!</v>
      </c>
      <c r="O24" s="94" t="e">
        <f>IF(N15+2&lt;&gt;O17,IF(N15+2&lt;&gt;O18,IF(N15+2&lt;&gt;O19,IF(N15+2&lt;&gt;O20,IF(N15+2&lt;&gt;O21,IF(N15+2&lt;&gt;O22,IF(N15+2&lt;&gt;O23,0,1),1),1),1),1),1),1)</f>
        <v>#VALUE!</v>
      </c>
      <c r="P24" s="92" t="e">
        <f>IF(Q15&lt;&gt;P17,IF(Q15&lt;&gt;P18,IF(Q15&lt;&gt;P19,IF(Q15&lt;&gt;P20,IF(Q15&lt;&gt;P21,IF(Q15&lt;&gt;P22,IF(Q15&lt;&gt;P23,0,1),1),1),1),1),1),1)</f>
        <v>#VALUE!</v>
      </c>
      <c r="Q24" s="93" t="e">
        <f>IF(Q15+1&lt;&gt;Q17,IF(Q15+1&lt;&gt;Q18,IF(Q15+1&lt;&gt;Q19,IF(Q15+1&lt;&gt;Q20,IF(Q15+1&lt;&gt;Q21,IF(Q15+1&lt;&gt;Q22,IF(Q15+1&lt;&gt;Q23,0,1),1),1),1),1),1),1)</f>
        <v>#VALUE!</v>
      </c>
      <c r="R24" s="94" t="e">
        <f>IF(Q15+2&lt;&gt;R17,IF(Q15+2&lt;&gt;R18,IF(Q15+2&lt;&gt;R19,IF(Q15+2&lt;&gt;R20,IF(Q15+2&lt;&gt;R21,IF(Q15+2&lt;&gt;R22,IF(Q15+2&lt;&gt;R23,0,1),1),1),1),1),1),1)</f>
        <v>#VALUE!</v>
      </c>
      <c r="S24" s="92" t="e">
        <f>IF(T15&lt;&gt;S17,IF(T15&lt;&gt;S18,IF(T15&lt;&gt;S19,IF(T15&lt;&gt;S20,IF(T15&lt;&gt;S21,IF(T15&lt;&gt;S22,IF(T15&lt;&gt;S23,0,1),1),1),1),1),1),1)</f>
        <v>#VALUE!</v>
      </c>
      <c r="T24" s="93" t="e">
        <f>IF(T15+1&lt;&gt;T17,IF(T15+1&lt;&gt;T18,IF(T15+1&lt;&gt;T19,IF(T15+1&lt;&gt;T20,IF(T15+1&lt;&gt;T21,IF(T15+1&lt;&gt;T22,IF(T15+1&lt;&gt;T23,0,1),1),1),1),1),1),1)</f>
        <v>#VALUE!</v>
      </c>
      <c r="U24" s="94" t="e">
        <f>IF(T15+2&lt;&gt;U17,IF(T15+2&lt;&gt;U18,IF(T15+2&lt;&gt;U19,IF(T15+2&lt;&gt;U20,IF(T15+2&lt;&gt;U21,IF(T15+2&lt;&gt;U22,IF(T15+2&lt;&gt;U23,0,1),1),1),1),1),1),1)</f>
        <v>#VALUE!</v>
      </c>
      <c r="V24" s="92" t="e">
        <f>IF(W15&lt;&gt;V17,IF(W15&lt;&gt;V18,IF(W15&lt;&gt;V19,IF(W15&lt;&gt;V20,IF(W15&lt;&gt;V21,IF(W15&lt;&gt;V22,IF(W15&lt;&gt;V23,0,1),1),1),1),1),1),1)</f>
        <v>#VALUE!</v>
      </c>
      <c r="W24" s="93" t="e">
        <f>IF(W15+1&lt;&gt;W17,IF(W15+1&lt;&gt;W18,IF(W15+1&lt;&gt;W19,IF(W15+1&lt;&gt;W20,IF(W15+1&lt;&gt;W21,IF(W15+1&lt;&gt;W22,IF(W15+1&lt;&gt;W23,0,1),1),1),1),1),1),1)</f>
        <v>#VALUE!</v>
      </c>
      <c r="X24" s="94" t="e">
        <f>IF(W15+2&lt;&gt;X17,IF(W15+2&lt;&gt;X18,IF(W15+2&lt;&gt;X19,IF(W15+2&lt;&gt;X20,IF(W15+2&lt;&gt;X21,IF(W15+2&lt;&gt;X22,IF(W15+2&lt;&gt;X23,0,1),1),1),1),1),1),1)</f>
        <v>#VALUE!</v>
      </c>
    </row>
    <row r="25" spans="1:24" ht="13.5" customHeight="1">
      <c r="A25" s="3"/>
      <c r="B25" s="381" t="s">
        <v>1057</v>
      </c>
      <c r="C25" s="382"/>
      <c r="D25" s="383"/>
      <c r="L25" s="282" t="s">
        <v>1056</v>
      </c>
      <c r="M25" s="256" t="e">
        <f>DATE(YEAR(N15),IF((25-MOD(11*MOD(YEAR(N15),19)+4-INT((7*MOD(YEAR(N15),19)+1)/19),29)-MOD(YEAR(N15)-1900+INT((YEAR(N15)-1900)/4)+31-MOD(11*MOD(YEAR(N15),19)+4-INT((7*MOD(YEAR(N15),19)+1)/19),29),7))&lt;=0,3,4),IF(25-MOD(11*MOD(YEAR(N15),19)+4-INT((7*MOD(YEAR(N15),19)+1)/19),29)-MOD(YEAR(N15)-1900+INT((YEAR(N15)-1900)/4)+31-MOD(11*MOD(YEAR(N15),19)+4-INT((7*MOD(YEAR(N15),19)+1)/19),29),7)&lt;=0,25-MOD(11*MOD(YEAR(N15),19)+4-INT((7*MOD(YEAR(N15),19)+1)/19),29)-MOD(YEAR(N15)-1900+INT((YEAR(N15)-1900)/4)+31-MOD(11*MOD(YEAR(N15),19)+4-INT((7*MOD(YEAR(N15),19)+1)/19),29),7)+31,25-MOD(11*MOD(YEAR(N15),19)+4-INT((7*MOD(YEAR(N15),19)+1)/19),29)-MOD(YEAR(N15)-1900+INT((YEAR(N15)-1900)/4)+31-MOD(11*MOD(YEAR(N15),19)+4-INT((7*MOD(YEAR(N15),19)+1)/19),29),7)))</f>
        <v>#VALUE!</v>
      </c>
      <c r="N25" s="256" t="e">
        <f>DATE(YEAR((N15+1)),IF((25-MOD(11*MOD(YEAR((N15+1)),19)+4-INT((7*MOD(YEAR((N15+1)),19)+1)/19),29)-MOD(YEAR((N15+1))-1900+INT((YEAR((N15+1))-1900)/4)+31-MOD(11*MOD(YEAR((N15+1)),19)+4-INT((7*MOD(YEAR((N15+1)),19)+1)/19),29),7))&lt;=0,3,4),IF(25-MOD(11*MOD(YEAR((N15+1)),19)+4-INT((7*MOD(YEAR((N15+1)),19)+1)/19),29)-MOD(YEAR((N15+1))-1900+INT((YEAR((N15+1))-1900)/4)+31-MOD(11*MOD(YEAR((N15+1)),19)+4-INT((7*MOD(YEAR((N15+1)),19)+1)/19),29),7)&lt;=0,25-MOD(11*MOD(YEAR((N15+1)),19)+4-INT((7*MOD(YEAR((N15+1)),19)+1)/19),29)-MOD(YEAR((N15+1))-1900+INT((YEAR((N15+1))-1900)/4)+31-MOD(11*MOD(YEAR((N15+1)),19)+4-INT((7*MOD(YEAR((N15+1)),19)+1)/19),29),7)+31,25-MOD(11*MOD(YEAR((N15+1)),19)+4-INT((7*MOD(YEAR((N15+1)),19)+1)/19),29)-MOD(YEAR((N15+1))-1900+INT((YEAR((N15+1))-1900)/4)+31-MOD(11*MOD(YEAR((N15+1)),19)+4-INT((7*MOD(YEAR((N15+1)),19)+1)/19),29),7)))</f>
        <v>#VALUE!</v>
      </c>
      <c r="O25" s="256" t="e">
        <f>DATE(YEAR((N15+2)),IF((25-MOD(11*MOD(YEAR((N15+2)),19)+4-INT((7*MOD(YEAR((N15+2)),19)+1)/19),29)-MOD(YEAR((N15+2))-1900+INT((YEAR((N15+2))-1900)/4)+31-MOD(11*MOD(YEAR((N15+2)),19)+4-INT((7*MOD(YEAR((N15+2)),19)+1)/19),29),7))&lt;=0,3,4),IF(25-MOD(11*MOD(YEAR((N15+2)),19)+4-INT((7*MOD(YEAR((N15+2)),19)+1)/19),29)-MOD(YEAR((N15+2))-1900+INT((YEAR((N15+2))-1900)/4)+31-MOD(11*MOD(YEAR((N15+2)),19)+4-INT((7*MOD(YEAR((N15+2)),19)+1)/19),29),7)&lt;=0,25-MOD(11*MOD(YEAR((N15+2)),19)+4-INT((7*MOD(YEAR((N15+2)),19)+1)/19),29)-MOD(YEAR((N15+2))-1900+INT((YEAR((N15+2))-1900)/4)+31-MOD(11*MOD(YEAR((N15+2)),19)+4-INT((7*MOD(YEAR((N15+2)),19)+1)/19),29),7)+31,25-MOD(11*MOD(YEAR((N15+2)),19)+4-INT((7*MOD(YEAR((N15+2)),19)+1)/19),29)-MOD(YEAR((N15+2))-1900+INT((YEAR((N15+2))-1900)/4)+31-MOD(11*MOD(YEAR((N15+2)),19)+4-INT((7*MOD(YEAR((N15+2)),19)+1)/19),29),7)))</f>
        <v>#VALUE!</v>
      </c>
      <c r="P25" s="256" t="e">
        <f>DATE(YEAR(Q15),IF((25-MOD(11*MOD(YEAR(Q15),19)+4-INT((7*MOD(YEAR(Q15),19)+1)/19),29)-MOD(YEAR(Q15)-1900+INT((YEAR(Q15)-1900)/4)+31-MOD(11*MOD(YEAR(Q15),19)+4-INT((7*MOD(YEAR(Q15),19)+1)/19),29),7))&lt;=0,3,4),IF(25-MOD(11*MOD(YEAR(Q15),19)+4-INT((7*MOD(YEAR(Q15),19)+1)/19),29)-MOD(YEAR(Q15)-1900+INT((YEAR(Q15)-1900)/4)+31-MOD(11*MOD(YEAR(Q15),19)+4-INT((7*MOD(YEAR(Q15),19)+1)/19),29),7)&lt;=0,25-MOD(11*MOD(YEAR(Q15),19)+4-INT((7*MOD(YEAR(Q15),19)+1)/19),29)-MOD(YEAR(Q15)-1900+INT((YEAR(Q15)-1900)/4)+31-MOD(11*MOD(YEAR(Q15),19)+4-INT((7*MOD(YEAR(Q15),19)+1)/19),29),7)+31,25-MOD(11*MOD(YEAR(Q15),19)+4-INT((7*MOD(YEAR(Q15),19)+1)/19),29)-MOD(YEAR(Q15)-1900+INT((YEAR(Q15)-1900)/4)+31-MOD(11*MOD(YEAR(Q15),19)+4-INT((7*MOD(YEAR(Q15),19)+1)/19),29),7)))</f>
        <v>#VALUE!</v>
      </c>
      <c r="Q25" s="256" t="e">
        <f>DATE(YEAR((Q15+1)),IF((25-MOD(11*MOD(YEAR((Q15+1)),19)+4-INT((7*MOD(YEAR((Q15+1)),19)+1)/19),29)-MOD(YEAR((Q15+1))-1900+INT((YEAR((Q15+1))-1900)/4)+31-MOD(11*MOD(YEAR((Q15+1)),19)+4-INT((7*MOD(YEAR((Q15+1)),19)+1)/19),29),7))&lt;=0,3,4),IF(25-MOD(11*MOD(YEAR((Q15+1)),19)+4-INT((7*MOD(YEAR((Q15+1)),19)+1)/19),29)-MOD(YEAR((Q15+1))-1900+INT((YEAR((Q15+1))-1900)/4)+31-MOD(11*MOD(YEAR((Q15+1)),19)+4-INT((7*MOD(YEAR((Q15+1)),19)+1)/19),29),7)&lt;=0,25-MOD(11*MOD(YEAR((Q15+1)),19)+4-INT((7*MOD(YEAR((Q15+1)),19)+1)/19),29)-MOD(YEAR((Q15+1))-1900+INT((YEAR((Q15+1))-1900)/4)+31-MOD(11*MOD(YEAR((Q15+1)),19)+4-INT((7*MOD(YEAR((Q15+1)),19)+1)/19),29),7)+31,25-MOD(11*MOD(YEAR((Q15+1)),19)+4-INT((7*MOD(YEAR((Q15+1)),19)+1)/19),29)-MOD(YEAR((Q15+1))-1900+INT((YEAR((Q15+1))-1900)/4)+31-MOD(11*MOD(YEAR((Q15+1)),19)+4-INT((7*MOD(YEAR((Q15+1)),19)+1)/19),29),7)))</f>
        <v>#VALUE!</v>
      </c>
      <c r="R25" s="256" t="e">
        <f>DATE(YEAR((Q15+2)),IF((25-MOD(11*MOD(YEAR((Q15+2)),19)+4-INT((7*MOD(YEAR((Q15+2)),19)+1)/19),29)-MOD(YEAR((Q15+2))-1900+INT((YEAR((Q15+2))-1900)/4)+31-MOD(11*MOD(YEAR((Q15+2)),19)+4-INT((7*MOD(YEAR((Q15+2)),19)+1)/19),29),7))&lt;=0,3,4),IF(25-MOD(11*MOD(YEAR((Q15+2)),19)+4-INT((7*MOD(YEAR((Q15+2)),19)+1)/19),29)-MOD(YEAR((Q15+2))-1900+INT((YEAR((Q15+2))-1900)/4)+31-MOD(11*MOD(YEAR((Q15+2)),19)+4-INT((7*MOD(YEAR((Q15+2)),19)+1)/19),29),7)&lt;=0,25-MOD(11*MOD(YEAR((Q15+2)),19)+4-INT((7*MOD(YEAR((Q15+2)),19)+1)/19),29)-MOD(YEAR((Q15+2))-1900+INT((YEAR((Q15+2))-1900)/4)+31-MOD(11*MOD(YEAR((Q15+2)),19)+4-INT((7*MOD(YEAR((Q15+2)),19)+1)/19),29),7)+31,25-MOD(11*MOD(YEAR((Q15+2)),19)+4-INT((7*MOD(YEAR((Q15+2)),19)+1)/19),29)-MOD(YEAR((Q15+2))-1900+INT((YEAR((Q15+2))-1900)/4)+31-MOD(11*MOD(YEAR((Q15+2)),19)+4-INT((7*MOD(YEAR((Q15+2)),19)+1)/19),29),7)))</f>
        <v>#VALUE!</v>
      </c>
      <c r="S25" s="256" t="e">
        <f>DATE(YEAR(T15),IF((25-MOD(11*MOD(YEAR(T15),19)+4-INT((7*MOD(YEAR(T15),19)+1)/19),29)-MOD(YEAR(T15)-1900+INT((YEAR(T15)-1900)/4)+31-MOD(11*MOD(YEAR(T15),19)+4-INT((7*MOD(YEAR(T15),19)+1)/19),29),7))&lt;=0,3,4),IF(25-MOD(11*MOD(YEAR(T15),19)+4-INT((7*MOD(YEAR(T15),19)+1)/19),29)-MOD(YEAR(T15)-1900+INT((YEAR(T15)-1900)/4)+31-MOD(11*MOD(YEAR(T15),19)+4-INT((7*MOD(YEAR(T15),19)+1)/19),29),7)&lt;=0,25-MOD(11*MOD(YEAR(T15),19)+4-INT((7*MOD(YEAR(T15),19)+1)/19),29)-MOD(YEAR(T15)-1900+INT((YEAR(T15)-1900)/4)+31-MOD(11*MOD(YEAR(T15),19)+4-INT((7*MOD(YEAR(T15),19)+1)/19),29),7)+31,25-MOD(11*MOD(YEAR(T15),19)+4-INT((7*MOD(YEAR(T15),19)+1)/19),29)-MOD(YEAR(T15)-1900+INT((YEAR(T15)-1900)/4)+31-MOD(11*MOD(YEAR(T15),19)+4-INT((7*MOD(YEAR(T15),19)+1)/19),29),7)))</f>
        <v>#VALUE!</v>
      </c>
      <c r="T25" s="256" t="e">
        <f>DATE(YEAR((T15+1)),IF((25-MOD(11*MOD(YEAR((T15+1)),19)+4-INT((7*MOD(YEAR((T15+1)),19)+1)/19),29)-MOD(YEAR((T15+1))-1900+INT((YEAR((T15+1))-1900)/4)+31-MOD(11*MOD(YEAR((T15+1)),19)+4-INT((7*MOD(YEAR((T15+1)),19)+1)/19),29),7))&lt;=0,3,4),IF(25-MOD(11*MOD(YEAR((T15+1)),19)+4-INT((7*MOD(YEAR((T15+1)),19)+1)/19),29)-MOD(YEAR((T15+1))-1900+INT((YEAR((T15+1))-1900)/4)+31-MOD(11*MOD(YEAR((T15+1)),19)+4-INT((7*MOD(YEAR((T15+1)),19)+1)/19),29),7)&lt;=0,25-MOD(11*MOD(YEAR((T15+1)),19)+4-INT((7*MOD(YEAR((T15+1)),19)+1)/19),29)-MOD(YEAR((T15+1))-1900+INT((YEAR((T15+1))-1900)/4)+31-MOD(11*MOD(YEAR((T15+1)),19)+4-INT((7*MOD(YEAR((T15+1)),19)+1)/19),29),7)+31,25-MOD(11*MOD(YEAR((T15+1)),19)+4-INT((7*MOD(YEAR((T15+1)),19)+1)/19),29)-MOD(YEAR((T15+1))-1900+INT((YEAR((T15+1))-1900)/4)+31-MOD(11*MOD(YEAR((T15+1)),19)+4-INT((7*MOD(YEAR((T15+1)),19)+1)/19),29),7)))</f>
        <v>#VALUE!</v>
      </c>
      <c r="U25" s="256" t="e">
        <f>DATE(YEAR((T15+2)),IF((25-MOD(11*MOD(YEAR((T15+2)),19)+4-INT((7*MOD(YEAR((T15+2)),19)+1)/19),29)-MOD(YEAR((T15+2))-1900+INT((YEAR((T15+2))-1900)/4)+31-MOD(11*MOD(YEAR((T15+2)),19)+4-INT((7*MOD(YEAR((T15+2)),19)+1)/19),29),7))&lt;=0,3,4),IF(25-MOD(11*MOD(YEAR((T15+2)),19)+4-INT((7*MOD(YEAR((T15+2)),19)+1)/19),29)-MOD(YEAR((T15+2))-1900+INT((YEAR((T15+2))-1900)/4)+31-MOD(11*MOD(YEAR((T15+2)),19)+4-INT((7*MOD(YEAR((T15+2)),19)+1)/19),29),7)&lt;=0,25-MOD(11*MOD(YEAR((T15+2)),19)+4-INT((7*MOD(YEAR((T15+2)),19)+1)/19),29)-MOD(YEAR((T15+2))-1900+INT((YEAR((T15+2))-1900)/4)+31-MOD(11*MOD(YEAR((T15+2)),19)+4-INT((7*MOD(YEAR((T15+2)),19)+1)/19),29),7)+31,25-MOD(11*MOD(YEAR((T15+2)),19)+4-INT((7*MOD(YEAR((T15+2)),19)+1)/19),29)-MOD(YEAR((T15+2))-1900+INT((YEAR((T15+2))-1900)/4)+31-MOD(11*MOD(YEAR((T15+2)),19)+4-INT((7*MOD(YEAR((T15+2)),19)+1)/19),29),7)))</f>
        <v>#VALUE!</v>
      </c>
      <c r="V25" s="256" t="e">
        <f>DATE(YEAR(W15),IF((25-MOD(11*MOD(YEAR(W15),19)+4-INT((7*MOD(YEAR(W15),19)+1)/19),29)-MOD(YEAR(W15)-1900+INT((YEAR(W15)-1900)/4)+31-MOD(11*MOD(YEAR(W15),19)+4-INT((7*MOD(YEAR(W15),19)+1)/19),29),7))&lt;=0,3,4),IF(25-MOD(11*MOD(YEAR(W15),19)+4-INT((7*MOD(YEAR(W15),19)+1)/19),29)-MOD(YEAR(W15)-1900+INT((YEAR(W15)-1900)/4)+31-MOD(11*MOD(YEAR(W15),19)+4-INT((7*MOD(YEAR(W15),19)+1)/19),29),7)&lt;=0,25-MOD(11*MOD(YEAR(W15),19)+4-INT((7*MOD(YEAR(W15),19)+1)/19),29)-MOD(YEAR(W15)-1900+INT((YEAR(W15)-1900)/4)+31-MOD(11*MOD(YEAR(W15),19)+4-INT((7*MOD(YEAR(W15),19)+1)/19),29),7)+31,25-MOD(11*MOD(YEAR(W15),19)+4-INT((7*MOD(YEAR(W15),19)+1)/19),29)-MOD(YEAR(W15)-1900+INT((YEAR(W15)-1900)/4)+31-MOD(11*MOD(YEAR(W15),19)+4-INT((7*MOD(YEAR(W15),19)+1)/19),29),7)))</f>
        <v>#VALUE!</v>
      </c>
      <c r="W25" s="256" t="e">
        <f>DATE(YEAR((W15+1)),IF((25-MOD(11*MOD(YEAR((W15+1)),19)+4-INT((7*MOD(YEAR((W15+1)),19)+1)/19),29)-MOD(YEAR((W15+1))-1900+INT((YEAR((W15+1))-1900)/4)+31-MOD(11*MOD(YEAR((W15+1)),19)+4-INT((7*MOD(YEAR((W15+1)),19)+1)/19),29),7))&lt;=0,3,4),IF(25-MOD(11*MOD(YEAR((W15+1)),19)+4-INT((7*MOD(YEAR((W15+1)),19)+1)/19),29)-MOD(YEAR((W15+1))-1900+INT((YEAR((W15+1))-1900)/4)+31-MOD(11*MOD(YEAR((W15+1)),19)+4-INT((7*MOD(YEAR((W15+1)),19)+1)/19),29),7)&lt;=0,25-MOD(11*MOD(YEAR((W15+1)),19)+4-INT((7*MOD(YEAR((W15+1)),19)+1)/19),29)-MOD(YEAR((W15+1))-1900+INT((YEAR((W15+1))-1900)/4)+31-MOD(11*MOD(YEAR((W15+1)),19)+4-INT((7*MOD(YEAR((W15+1)),19)+1)/19),29),7)+31,25-MOD(11*MOD(YEAR((W15+1)),19)+4-INT((7*MOD(YEAR((W15+1)),19)+1)/19),29)-MOD(YEAR((W15+1))-1900+INT((YEAR((W15+1))-1900)/4)+31-MOD(11*MOD(YEAR((W15+1)),19)+4-INT((7*MOD(YEAR((W15+1)),19)+1)/19),29),7)))</f>
        <v>#VALUE!</v>
      </c>
      <c r="X25" s="256" t="e">
        <f>DATE(YEAR((W15+2)),IF((25-MOD(11*MOD(YEAR((W15+2)),19)+4-INT((7*MOD(YEAR((W15+2)),19)+1)/19),29)-MOD(YEAR((W15+2))-1900+INT((YEAR((W15+2))-1900)/4)+31-MOD(11*MOD(YEAR((W15+2)),19)+4-INT((7*MOD(YEAR((W15+2)),19)+1)/19),29),7))&lt;=0,3,4),IF(25-MOD(11*MOD(YEAR((W15+2)),19)+4-INT((7*MOD(YEAR((W15+2)),19)+1)/19),29)-MOD(YEAR((W15+2))-1900+INT((YEAR((W15+2))-1900)/4)+31-MOD(11*MOD(YEAR((W15+2)),19)+4-INT((7*MOD(YEAR((W15+2)),19)+1)/19),29),7)&lt;=0,25-MOD(11*MOD(YEAR((W15+2)),19)+4-INT((7*MOD(YEAR((W15+2)),19)+1)/19),29)-MOD(YEAR((W15+2))-1900+INT((YEAR((W15+2))-1900)/4)+31-MOD(11*MOD(YEAR((W15+2)),19)+4-INT((7*MOD(YEAR((W15+2)),19)+1)/19),29),7)+31,25-MOD(11*MOD(YEAR((W15+2)),19)+4-INT((7*MOD(YEAR((W15+2)),19)+1)/19),29)-MOD(YEAR((W15+2))-1900+INT((YEAR((W15+2))-1900)/4)+31-MOD(11*MOD(YEAR((W15+2)),19)+4-INT((7*MOD(YEAR((W15+2)),19)+1)/19),29),7)))</f>
        <v>#VALUE!</v>
      </c>
    </row>
    <row r="26" spans="1:24" ht="13.5" customHeight="1">
      <c r="B26" s="161" t="str">
        <f>IF(AND(Demande!$L$77=TRUE,A25&lt;&gt;""),"Début enquête","")</f>
        <v/>
      </c>
      <c r="C26" s="161" t="str">
        <f>IF(AND(Demande!$L$77=TRUE,A25&lt;&gt;""),"Fin enquête","")</f>
        <v/>
      </c>
      <c r="D26" s="161" t="str">
        <f>IF(AND(Demande!$L$77=TRUE,A25&lt;&gt;""),"PV enquête","")</f>
        <v/>
      </c>
      <c r="F26" s="384" t="str">
        <f>IF(AND(Demande!$L$77=TRUE,A25&lt;&gt;""),"Demande enquête publique","")</f>
        <v/>
      </c>
      <c r="G26" s="385"/>
      <c r="I26" s="198" t="s">
        <v>1011</v>
      </c>
      <c r="J26" s="198" t="s">
        <v>1012</v>
      </c>
      <c r="K26" s="6"/>
      <c r="L26" s="282" t="s">
        <v>46</v>
      </c>
      <c r="M26" s="89" t="e">
        <f t="shared" ref="M26:X26" si="0">M25+1</f>
        <v>#VALUE!</v>
      </c>
      <c r="N26" s="110" t="e">
        <f t="shared" si="0"/>
        <v>#VALUE!</v>
      </c>
      <c r="O26" s="90" t="e">
        <f t="shared" si="0"/>
        <v>#VALUE!</v>
      </c>
      <c r="P26" s="89" t="e">
        <f t="shared" si="0"/>
        <v>#VALUE!</v>
      </c>
      <c r="Q26" s="110" t="e">
        <f t="shared" si="0"/>
        <v>#VALUE!</v>
      </c>
      <c r="R26" s="90" t="e">
        <f t="shared" si="0"/>
        <v>#VALUE!</v>
      </c>
      <c r="S26" s="89" t="e">
        <f t="shared" si="0"/>
        <v>#VALUE!</v>
      </c>
      <c r="T26" s="110" t="e">
        <f t="shared" si="0"/>
        <v>#VALUE!</v>
      </c>
      <c r="U26" s="90" t="e">
        <f t="shared" si="0"/>
        <v>#VALUE!</v>
      </c>
      <c r="V26" s="89" t="e">
        <f t="shared" si="0"/>
        <v>#VALUE!</v>
      </c>
      <c r="W26" s="110" t="e">
        <f t="shared" si="0"/>
        <v>#VALUE!</v>
      </c>
      <c r="X26" s="90" t="e">
        <f t="shared" si="0"/>
        <v>#VALUE!</v>
      </c>
    </row>
    <row r="27" spans="1:24" ht="13.5" customHeight="1">
      <c r="A27" s="4" t="s">
        <v>1058</v>
      </c>
      <c r="B27" s="41" t="str">
        <f>IF(AND(Demande!$L$77=TRUE,A25&lt;&gt;""),Demande!$M$18+Demande!$M$19,"")</f>
        <v/>
      </c>
      <c r="C27" s="41" t="str">
        <f>IF(AND(Demande!$L$77=TRUE,A25&lt;&gt;""),IF(OR(Demande!$L$83=3,Demande!$L$83=5,Demande!$L$83=6),IF(OR(Demande!$L$75=1,Demande!$L$76=TRUE),Demande!$M$16,Demande!$M$17)),"")</f>
        <v/>
      </c>
      <c r="D27" s="41" t="str">
        <f>IF(AND(Demande!$L$77=TRUE,A25&lt;&gt;""),Demande!$M$20,"")</f>
        <v/>
      </c>
      <c r="F27" s="149" t="str">
        <f>IF(AND(Demande!$L$77=TRUE,A25&lt;&gt;""),"Demande","")</f>
        <v/>
      </c>
      <c r="G27" s="140" t="str">
        <f>IF(AND(Demande!$L$77=TRUE,A25&lt;&gt;""),Demande!$G$20,"")</f>
        <v/>
      </c>
      <c r="I27" s="17" t="str">
        <f>IF(Demande!$B$20&lt;&gt;"",DATE(YEAR(J27),7,16),"")</f>
        <v/>
      </c>
      <c r="J27" s="25" t="str">
        <f ca="1">IF(Demande!$G$20&lt;&gt;"",IF(AND(G28&lt;&gt;"",B33=""),G28+Demande!$M$18+Demande!$M$19,IF(B33&lt;&gt;"",B33,B29)),"")</f>
        <v/>
      </c>
      <c r="K27" s="25" t="str">
        <f ca="1">IF(OR(AND(I29&lt;&gt;0,I29&lt;&gt;31),AND(I29=31,B29=I27)),I28+1,J27)</f>
        <v/>
      </c>
      <c r="L27" s="282" t="s">
        <v>49</v>
      </c>
      <c r="M27" s="89" t="e">
        <f>M25+39</f>
        <v>#VALUE!</v>
      </c>
      <c r="N27" s="110" t="e">
        <f>N25+39</f>
        <v>#VALUE!</v>
      </c>
      <c r="O27" s="90" t="e">
        <f>O25+39</f>
        <v>#VALUE!</v>
      </c>
      <c r="P27" s="89" t="e">
        <f t="shared" ref="P27:X27" si="1">P25+39</f>
        <v>#VALUE!</v>
      </c>
      <c r="Q27" s="110" t="e">
        <f t="shared" si="1"/>
        <v>#VALUE!</v>
      </c>
      <c r="R27" s="90" t="e">
        <f t="shared" si="1"/>
        <v>#VALUE!</v>
      </c>
      <c r="S27" s="89" t="e">
        <f t="shared" si="1"/>
        <v>#VALUE!</v>
      </c>
      <c r="T27" s="110" t="e">
        <f t="shared" si="1"/>
        <v>#VALUE!</v>
      </c>
      <c r="U27" s="90" t="e">
        <f t="shared" si="1"/>
        <v>#VALUE!</v>
      </c>
      <c r="V27" s="89" t="e">
        <f t="shared" si="1"/>
        <v>#VALUE!</v>
      </c>
      <c r="W27" s="110" t="e">
        <f t="shared" si="1"/>
        <v>#VALUE!</v>
      </c>
      <c r="X27" s="90" t="e">
        <f t="shared" si="1"/>
        <v>#VALUE!</v>
      </c>
    </row>
    <row r="28" spans="1:24" ht="13.5" customHeight="1">
      <c r="A28" s="4" t="s">
        <v>37</v>
      </c>
      <c r="B28" s="43" t="str">
        <f>IF(A25&lt;&gt;"",IF(OR(Demande!$L$83=3,Demande!$L$83=6),IF(B33&lt;&gt;"",B33-IF(G28&lt;&gt;"",G28,Demande!$G$20),""),""),"")</f>
        <v/>
      </c>
      <c r="C28" s="43" t="str">
        <f>IF(OR(Demande!$L$83=3,Demande!$L$83=6),IF(AND(B33&lt;&gt;"",C33&lt;&gt;""),C33-B33+1-P52-MAX(I29,I33),""),"")</f>
        <v/>
      </c>
      <c r="D28" s="43" t="str">
        <f>IF(Demande!$L$77=TRUE,IF(Demande!$B$20&lt;&gt;"",IF(D32&lt;&gt;"",D32-C34,""),""),"")</f>
        <v/>
      </c>
      <c r="F28" s="149" t="str">
        <f>IF(AND(Demande!$L$77=TRUE,A25&lt;&gt;""),"Réception","")</f>
        <v/>
      </c>
      <c r="G28" s="56"/>
      <c r="I28" s="17" t="str">
        <f>IF(Demande!$B$20&lt;&gt;"",I27+30,"")</f>
        <v/>
      </c>
      <c r="J28" s="25" t="str">
        <f>IF(B29&lt;&gt;"",Q55+P72,"")</f>
        <v/>
      </c>
      <c r="L28" s="282" t="s">
        <v>53</v>
      </c>
      <c r="M28" s="279" t="e">
        <f>M25+50</f>
        <v>#VALUE!</v>
      </c>
      <c r="N28" s="280" t="e">
        <f>N25+50</f>
        <v>#VALUE!</v>
      </c>
      <c r="O28" s="281" t="e">
        <f>O25+50</f>
        <v>#VALUE!</v>
      </c>
      <c r="P28" s="279" t="e">
        <f t="shared" ref="P28:X28" si="2">P25+50</f>
        <v>#VALUE!</v>
      </c>
      <c r="Q28" s="280" t="e">
        <f t="shared" si="2"/>
        <v>#VALUE!</v>
      </c>
      <c r="R28" s="281" t="e">
        <f t="shared" si="2"/>
        <v>#VALUE!</v>
      </c>
      <c r="S28" s="279" t="e">
        <f t="shared" si="2"/>
        <v>#VALUE!</v>
      </c>
      <c r="T28" s="280" t="e">
        <f t="shared" si="2"/>
        <v>#VALUE!</v>
      </c>
      <c r="U28" s="281" t="e">
        <f t="shared" si="2"/>
        <v>#VALUE!</v>
      </c>
      <c r="V28" s="279" t="e">
        <f t="shared" si="2"/>
        <v>#VALUE!</v>
      </c>
      <c r="W28" s="280" t="e">
        <f t="shared" si="2"/>
        <v>#VALUE!</v>
      </c>
      <c r="X28" s="281" t="e">
        <f t="shared" si="2"/>
        <v>#VALUE!</v>
      </c>
    </row>
    <row r="29" spans="1:24" ht="13.5" customHeight="1">
      <c r="A29" s="208" t="s">
        <v>1050</v>
      </c>
      <c r="B29" s="46" t="str">
        <f>IF(A25&lt;&gt;"",IF(Demande!$G$20&lt;&gt;"",IF(OR(Demande!$L$83=3,Demande!$L$83=5,Demande!$L$83=6),IF(B34&lt;&gt;"",B34+Demande!$M$19,IF(G28&lt;&gt;"",G28+B27,Demande!$G$20+B27)),""),""),"")</f>
        <v/>
      </c>
      <c r="C29" s="46" t="str">
        <f>IF(A25&lt;&gt;"",IF(OR(Demande!$L$83=3,Demande!$L$83=6),IF(B29&lt;&gt;"",Q15+P32,""),""),"")</f>
        <v/>
      </c>
      <c r="D29" s="46" t="str">
        <f>IF(A25&lt;&gt;"",IF(B29&lt;&gt;"",IF(OR(Demande!$L$83=3,Demande!$L$83=6),C29+D27,""),""),"")</f>
        <v/>
      </c>
      <c r="I29" s="64">
        <f>IF(Demande!$B$20&lt;&gt;"",IF(B29&lt;&gt;"",IF(AND(J27&lt;=I27,J28&gt;=I27),31,IF(AND(J27&gt;=I27,J28&lt;=I28),I28-J27+1,IF(AND(J27&gt;I27,J27&lt;=I28,J28&gt;=I28),I28-J27+1,0))),0),0)</f>
        <v>0</v>
      </c>
      <c r="J29" s="25" t="str">
        <f>IF(A25&lt;&gt;"",IF(Demande!$B$20&lt;&gt;"",IF(B33&lt;&gt;"",Q35+P52,IF(B29&lt;&gt;"",Q15+P32,""))),"")</f>
        <v/>
      </c>
      <c r="K29" s="322">
        <f>IF(Demande!$B$20&lt;&gt;"",IF(B29&lt;&gt;"",IF(AND(B29&lt;=I27,J28&gt;=I27),31,IF(AND(B29&gt;=I27,J28&lt;=I28),I28-B29+1,IF(AND(B29&gt;I27,B29&lt;=I28,J28&gt;=I28),I28-B29+1,0))),0),0)</f>
        <v>0</v>
      </c>
      <c r="L29" s="47" t="s">
        <v>35</v>
      </c>
      <c r="M29" s="92" t="e">
        <f>IF(N15&lt;&gt;M26,IF(N15&lt;&gt;M27,IF(N15&lt;&gt;M28,0,1),1),1)</f>
        <v>#VALUE!</v>
      </c>
      <c r="N29" s="93" t="e">
        <f>IF(N15+1&lt;&gt;N26,IF(N15+1&lt;&gt;N27,IF(N15+1&lt;&gt;N28,0,1),1),1)</f>
        <v>#VALUE!</v>
      </c>
      <c r="O29" s="94" t="e">
        <f>IF(N15+2&lt;&gt;O26,IF(N15+2&lt;&gt;O27,IF(N15+2&lt;&gt;O28,0,1),1),1)</f>
        <v>#VALUE!</v>
      </c>
      <c r="P29" s="92" t="e">
        <f>IF(Q15&lt;&gt;P26,IF(Q15&lt;&gt;P27,IF(Q15&lt;&gt;P28,0,1),1),1)</f>
        <v>#VALUE!</v>
      </c>
      <c r="Q29" s="93" t="e">
        <f>IF(Q15+1&lt;&gt;Q26,IF(Q15+1&lt;&gt;Q27,IF(Q15+1&lt;&gt;Q28,0,1),1),1)</f>
        <v>#VALUE!</v>
      </c>
      <c r="R29" s="94" t="e">
        <f>IF(Q15+2&lt;&gt;R26,IF(Q15+2&lt;&gt;R27,IF(Q15+2&lt;&gt;R28,0,1),1),1)</f>
        <v>#VALUE!</v>
      </c>
      <c r="S29" s="92" t="e">
        <f>IF(T15&lt;&gt;S26,IF(T15&lt;&gt;S27,IF(T15&lt;&gt;S28,0,1),1),1)</f>
        <v>#VALUE!</v>
      </c>
      <c r="T29" s="93" t="e">
        <f>IF(T15+1&lt;&gt;T26,IF(T15+1&lt;&gt;T27,IF(T15+1&lt;&gt;T28,0,1),1),1)</f>
        <v>#VALUE!</v>
      </c>
      <c r="U29" s="94" t="e">
        <f>IF(T15+2&lt;&gt;U26,IF(T15+2&lt;&gt;U27,IF(T15+2&lt;&gt;U28,0,1),1),1)</f>
        <v>#VALUE!</v>
      </c>
      <c r="V29" s="92" t="e">
        <f>IF(W15&lt;&gt;V26,IF(W15&lt;&gt;V27,IF(W15&lt;&gt;V28,0,1),1),1)</f>
        <v>#VALUE!</v>
      </c>
      <c r="W29" s="93" t="e">
        <f>IF(W15+1&lt;&gt;W26,IF(W15+1&lt;&gt;W27,IF(W15+1&lt;&gt;W28,0,1),1),1)</f>
        <v>#VALUE!</v>
      </c>
      <c r="X29" s="94" t="e">
        <f>IF(W15+2&lt;&gt;X26,IF(W15+2&lt;&gt;X27,IF(W15+2&lt;&gt;X28,0,1),1),1)</f>
        <v>#VALUE!</v>
      </c>
    </row>
    <row r="30" spans="1:24" ht="13.5" customHeight="1">
      <c r="A30" s="4" t="s">
        <v>44</v>
      </c>
      <c r="B30" s="50" t="str">
        <f>IF(A25&lt;&gt;"",IF(Demande!$B$20&lt;&gt;"",IF(OR(Demande!$L$83=3,Demande!$L$83=6),IF(B33="",B29,IF(I33&lt;&gt;0,K31,IF(I29&lt;&gt;0,K27,B33))),""),""),"")</f>
        <v/>
      </c>
      <c r="C30" s="50" t="str">
        <f>IF(A25&lt;&gt;"",IF(OR(Demande!$L$83=3,Demande!$L$83=6),IF(C33&lt;&gt;"",C33,IF(Demande!$G$20&lt;&gt;"",J29,"")),""),"")</f>
        <v/>
      </c>
      <c r="D30" s="50" t="str">
        <f>IF(A25&lt;&gt;"",IF(B30&lt;&gt;"",IF(Demande!$G$20&lt;&gt;"",IF(D32&lt;&gt;"",D32,C30+D27),""),""),"")</f>
        <v/>
      </c>
      <c r="F30" s="386" t="str">
        <f>IF(AND($I$3&gt;0,A25&lt;&gt;""),"Neutralisation de l'enquête","")</f>
        <v/>
      </c>
      <c r="G30" s="387"/>
      <c r="I30" s="1"/>
      <c r="J30" s="198" t="s">
        <v>1013</v>
      </c>
      <c r="L30" s="47" t="s">
        <v>57</v>
      </c>
      <c r="M30" s="95" t="e">
        <f t="shared" ref="M30:X30" si="3">IF(OR(M24=1,M29=1),1,0)</f>
        <v>#VALUE!</v>
      </c>
      <c r="N30" s="96" t="e">
        <f t="shared" si="3"/>
        <v>#VALUE!</v>
      </c>
      <c r="O30" s="97" t="e">
        <f t="shared" si="3"/>
        <v>#VALUE!</v>
      </c>
      <c r="P30" s="95" t="e">
        <f t="shared" si="3"/>
        <v>#VALUE!</v>
      </c>
      <c r="Q30" s="96" t="e">
        <f t="shared" si="3"/>
        <v>#VALUE!</v>
      </c>
      <c r="R30" s="97" t="e">
        <f t="shared" si="3"/>
        <v>#VALUE!</v>
      </c>
      <c r="S30" s="95" t="e">
        <f t="shared" si="3"/>
        <v>#VALUE!</v>
      </c>
      <c r="T30" s="96" t="e">
        <f t="shared" si="3"/>
        <v>#VALUE!</v>
      </c>
      <c r="U30" s="97" t="e">
        <f t="shared" si="3"/>
        <v>#VALUE!</v>
      </c>
      <c r="V30" s="95" t="e">
        <f t="shared" si="3"/>
        <v>#VALUE!</v>
      </c>
      <c r="W30" s="96" t="e">
        <f t="shared" si="3"/>
        <v>#VALUE!</v>
      </c>
      <c r="X30" s="97" t="e">
        <f t="shared" si="3"/>
        <v>#VALUE!</v>
      </c>
    </row>
    <row r="31" spans="1:24" ht="13.5" customHeight="1">
      <c r="A31" s="4" t="s">
        <v>47</v>
      </c>
      <c r="B31" s="50" t="str">
        <f>TEXT(B30,"jjjj")</f>
        <v/>
      </c>
      <c r="C31" s="50" t="str">
        <f>TEXT(C30,"jjjj")</f>
        <v/>
      </c>
      <c r="D31" s="50" t="str">
        <f>TEXT(D30,"jjjj")</f>
        <v/>
      </c>
      <c r="F31" s="379" t="str">
        <f>IF(I3&lt;&gt;0,IF(AND(Demande!$L$77=TRUE,A25&lt;&gt;""),CONCATENATE(MAX(I29,I33),IF(MAX(I29,I33)&lt;=1," jour"," jours")),""),"")</f>
        <v/>
      </c>
      <c r="G31" s="380"/>
      <c r="I31" s="17" t="str">
        <f>IF(Demande!$B$20&lt;&gt;"",IF(B34&lt;&gt;"",DATE(YEAR(B34),12,24),IF(B29&lt;&gt;"",DATE(YEAR(B29-1),12,24),"")),"")</f>
        <v/>
      </c>
      <c r="J31" s="25" t="str">
        <f>IF(Demande!$B$20&lt;&gt;"",IF(Demande!$L$83=3,IF(AND(J27&gt;=I31,J27&lt;=I32),I32+1,IF(B33&lt;&gt;"",B33,B29)),""),"")</f>
        <v/>
      </c>
      <c r="K31" s="25" t="str">
        <f>IF(AND(I33&lt;&gt;0,I33&lt;&gt;9),I32+1,J31)</f>
        <v/>
      </c>
      <c r="L31" s="282"/>
    </row>
    <row r="32" spans="1:24" ht="13.5" customHeight="1">
      <c r="A32" s="260"/>
      <c r="B32" s="320" t="s">
        <v>1065</v>
      </c>
      <c r="C32" s="320" t="s">
        <v>1066</v>
      </c>
      <c r="D32" s="56"/>
      <c r="I32" s="17" t="str">
        <f>IF(Demande!$B$20&lt;&gt;"",IF(B29&lt;&gt;"",I31+8,""),"")</f>
        <v/>
      </c>
      <c r="J32" s="199"/>
      <c r="L32" s="19" t="s">
        <v>63</v>
      </c>
      <c r="M32" s="101" t="e">
        <f>IF(AND(O15&lt;&gt;"samedi",O15&lt;&gt;"dimanche"),IF(AND(M30=1,O15="vendredi"),3,IF(AND(M30=1,O15="samedi"),2,IF(M30=1,1,0))),IF(AND(O15="samedi",O30=1),3,IF(O15="samedi",2,IF(AND(O15="dimanche",N30=1),2,1))))</f>
        <v>#VALUE!</v>
      </c>
      <c r="N32" s="277"/>
      <c r="O32" s="277"/>
      <c r="P32" s="101" t="e">
        <f>IF(AND(R15&lt;&gt;"samedi",R15&lt;&gt;"dimanche"),IF(AND(P30=1,R15="vendredi"),3,IF(AND(P30=1,R15="samedi"),2,IF(P30=1,1,0))),IF(AND(R15="samedi",R30=1),3,IF(R15="samedi",2,IF(AND(R15="dimanche",Q30=1),2,1))))</f>
        <v>#VALUE!</v>
      </c>
      <c r="Q32" s="277"/>
      <c r="R32" s="277"/>
      <c r="S32" s="101" t="e">
        <f>IF(AND(U15&lt;&gt;"samedi",U15&lt;&gt;"dimanche"),IF(AND(S30=1,U15="vendredi"),3,IF(AND(S30=1,U15="samedi"),2,IF(S30=1,1,0))),IF(AND(U15="samedi",U30=1),3,IF(U15="samedi",2,IF(AND(U15="dimanche",T30=1),2,1))))</f>
        <v>#VALUE!</v>
      </c>
      <c r="T32" s="277"/>
      <c r="U32" s="277"/>
      <c r="V32" s="101" t="e">
        <f>IF(AND(X15&lt;&gt;"samedi",X15&lt;&gt;"dimanche"),IF(AND(V30=1,X15="vendredi"),3,IF(AND(V30=1,X15="samedi"),2,IF(V30=1,1,0))),IF(AND(X15="samedi",X30=1),3,IF(X15="samedi",2,IF(AND(X15="dimanche",W30=1),2,1))))</f>
        <v>#VALUE!</v>
      </c>
      <c r="W32" s="277"/>
      <c r="X32" s="277"/>
    </row>
    <row r="33" spans="1:24" ht="13.5" customHeight="1">
      <c r="A33" s="319" t="s">
        <v>1051</v>
      </c>
      <c r="B33" s="56"/>
      <c r="C33" s="56"/>
      <c r="D33" s="66"/>
      <c r="I33" s="64">
        <f>IF(Demande!$B$20&lt;&gt;"",IF(B29&lt;&gt;"",IF(AND(J27&lt;=I31,J28&gt;=I31),9,IF(AND(J27&gt;=I31,J28&lt;=I32),I32-J27+1,IF(AND(J27&gt;I31,J27&lt;=I32,J28&gt;=I32),I32-J27+1,0))),0),0)</f>
        <v>0</v>
      </c>
      <c r="J33" s="25"/>
      <c r="K33" s="322">
        <f>IF(Demande!$B$20&lt;&gt;"",IF(B29&lt;&gt;"",IF(AND(B29&lt;=I31,J28&gt;=I31),9,IF(AND(B29&gt;=I31,J28&lt;=I32),I32-B29+1,IF(AND(B29&gt;I31,B29&lt;=I32,J28&gt;=I32),I32-B29+1,0))),0),0)</f>
        <v>0</v>
      </c>
    </row>
    <row r="34" spans="1:24" ht="13.5" customHeight="1">
      <c r="A34" s="319" t="s">
        <v>1067</v>
      </c>
      <c r="B34" s="56"/>
      <c r="C34" s="56"/>
      <c r="D34" s="1"/>
      <c r="M34" s="81" t="s">
        <v>1074</v>
      </c>
      <c r="N34" s="81"/>
      <c r="O34" s="81"/>
      <c r="P34" s="81" t="s">
        <v>1075</v>
      </c>
      <c r="Q34" s="81"/>
      <c r="R34" s="81"/>
      <c r="S34" s="81" t="s">
        <v>1076</v>
      </c>
      <c r="T34" s="81"/>
      <c r="U34" s="81"/>
      <c r="V34" s="81" t="s">
        <v>1077</v>
      </c>
      <c r="W34" s="81"/>
      <c r="X34" s="81"/>
    </row>
    <row r="35" spans="1:24" ht="13.5" customHeight="1">
      <c r="A35" s="261"/>
      <c r="B35" s="261"/>
      <c r="C35" s="261"/>
      <c r="D35" s="261"/>
      <c r="E35" s="261"/>
      <c r="F35" s="261"/>
      <c r="G35" s="261"/>
      <c r="H35" s="261"/>
      <c r="I35" s="261"/>
      <c r="J35" s="261"/>
      <c r="K35" s="261"/>
      <c r="M35" s="34" t="s">
        <v>81</v>
      </c>
      <c r="N35" s="25" t="str">
        <f>IF(Demande!$B$20&lt;&gt;"",IF(B17&lt;&gt;"",IF(B21&lt;&gt;"",B21+C15+MAX(I17,I21)-1,""),""),"")</f>
        <v/>
      </c>
      <c r="O35" s="83" t="str">
        <f>TEXT(N35,"jjjj")</f>
        <v/>
      </c>
      <c r="P35" s="34" t="s">
        <v>81</v>
      </c>
      <c r="Q35" s="25" t="str">
        <f>IF(Demande!$B$20&lt;&gt;"",IF(B29&lt;&gt;"",IF(B33&lt;&gt;"",B33+C27+MAX(I29,I33)-1,""),""),"")</f>
        <v/>
      </c>
      <c r="R35" s="83" t="str">
        <f>TEXT(Q35,"jjjj")</f>
        <v/>
      </c>
      <c r="S35" s="34" t="s">
        <v>81</v>
      </c>
      <c r="T35" s="25" t="str">
        <f>IF(Demande!$B$20&lt;&gt;"",IF(B41&lt;&gt;"",IF(B45&lt;&gt;"",B45+C39+MAX(I41,I45)-1,""),""),"")</f>
        <v/>
      </c>
      <c r="U35" s="83" t="str">
        <f>TEXT(T35,"jjjj")</f>
        <v/>
      </c>
      <c r="V35" s="34" t="s">
        <v>81</v>
      </c>
      <c r="W35" s="25" t="str">
        <f>IF(Demande!$B$20&lt;&gt;"",IF(B53&lt;&gt;"",IF(B57&lt;&gt;"",B57+C51+MAX(I53,I57)-1,""),""),"")</f>
        <v/>
      </c>
      <c r="X35" s="83" t="str">
        <f>TEXT(W35,"jjjj")</f>
        <v/>
      </c>
    </row>
    <row r="36" spans="1:24" ht="13.5" customHeight="1">
      <c r="A36" s="262"/>
      <c r="B36" s="263"/>
      <c r="C36" s="263"/>
      <c r="D36" s="263"/>
      <c r="E36" s="261"/>
      <c r="F36" s="388"/>
      <c r="G36" s="388"/>
      <c r="H36" s="261"/>
      <c r="I36" s="264"/>
      <c r="J36" s="264"/>
      <c r="K36" s="265"/>
      <c r="M36" s="85" t="s">
        <v>24</v>
      </c>
      <c r="N36" s="85" t="s">
        <v>25</v>
      </c>
      <c r="O36" s="85" t="s">
        <v>26</v>
      </c>
      <c r="P36" s="85" t="s">
        <v>24</v>
      </c>
      <c r="Q36" s="85" t="s">
        <v>25</v>
      </c>
      <c r="R36" s="85" t="s">
        <v>26</v>
      </c>
      <c r="S36" s="85" t="s">
        <v>24</v>
      </c>
      <c r="T36" s="85" t="s">
        <v>25</v>
      </c>
      <c r="U36" s="85" t="s">
        <v>26</v>
      </c>
      <c r="V36" s="85" t="s">
        <v>24</v>
      </c>
      <c r="W36" s="85" t="s">
        <v>25</v>
      </c>
      <c r="X36" s="85" t="s">
        <v>26</v>
      </c>
    </row>
    <row r="37" spans="1:24" ht="13.5" customHeight="1">
      <c r="A37" s="3"/>
      <c r="B37" s="381" t="s">
        <v>1057</v>
      </c>
      <c r="C37" s="382"/>
      <c r="D37" s="383"/>
      <c r="L37" s="283">
        <v>37257</v>
      </c>
      <c r="M37" s="89" t="e">
        <f>DATE(YEAR(N35),1,1)</f>
        <v>#VALUE!</v>
      </c>
      <c r="N37" s="82" t="e">
        <f>DATE(YEAR(N35+1),1,1)</f>
        <v>#VALUE!</v>
      </c>
      <c r="O37" s="90" t="e">
        <f>DATE(YEAR(N35+2),1,1)</f>
        <v>#VALUE!</v>
      </c>
      <c r="P37" s="89" t="e">
        <f>DATE(YEAR(Q35),1,1)</f>
        <v>#VALUE!</v>
      </c>
      <c r="Q37" s="82" t="e">
        <f>DATE(YEAR(Q35+1),1,1)</f>
        <v>#VALUE!</v>
      </c>
      <c r="R37" s="90" t="e">
        <f>DATE(YEAR(Q35+2),1,1)</f>
        <v>#VALUE!</v>
      </c>
      <c r="S37" s="89" t="e">
        <f>DATE(YEAR(T35),1,1)</f>
        <v>#VALUE!</v>
      </c>
      <c r="T37" s="82" t="e">
        <f>DATE(YEAR(T35+1),1,1)</f>
        <v>#VALUE!</v>
      </c>
      <c r="U37" s="90" t="e">
        <f>DATE(YEAR(T35+2),1,1)</f>
        <v>#VALUE!</v>
      </c>
      <c r="V37" s="89" t="e">
        <f>DATE(YEAR(W35),1,1)</f>
        <v>#VALUE!</v>
      </c>
      <c r="W37" s="82" t="e">
        <f>DATE(YEAR(W35+1),1,1)</f>
        <v>#VALUE!</v>
      </c>
      <c r="X37" s="90" t="e">
        <f>DATE(YEAR(W35+2),1,1)</f>
        <v>#VALUE!</v>
      </c>
    </row>
    <row r="38" spans="1:24" ht="13.5" customHeight="1">
      <c r="B38" s="161" t="str">
        <f>IF(AND(Demande!$L$77=TRUE,A37&lt;&gt;""),"Début enquête","")</f>
        <v/>
      </c>
      <c r="C38" s="161" t="str">
        <f>IF(AND(Demande!$L$77=TRUE,A37&lt;&gt;""),"Fin enquête","")</f>
        <v/>
      </c>
      <c r="D38" s="161" t="str">
        <f>IF(AND(Demande!$L$77=TRUE,A37&lt;&gt;""),"PV enquête","")</f>
        <v/>
      </c>
      <c r="F38" s="384" t="str">
        <f>IF(AND(Demande!$L$77=TRUE,A37&lt;&gt;""),"Demande enquête publique","")</f>
        <v/>
      </c>
      <c r="G38" s="385"/>
      <c r="I38" s="198" t="s">
        <v>1011</v>
      </c>
      <c r="J38" s="198" t="s">
        <v>1012</v>
      </c>
      <c r="K38" s="6"/>
      <c r="L38" s="283">
        <v>37377</v>
      </c>
      <c r="M38" s="89" t="e">
        <f>DATE(YEAR(N35),5,1)</f>
        <v>#VALUE!</v>
      </c>
      <c r="N38" s="82" t="e">
        <f>DATE(YEAR(N35+1),5,1)</f>
        <v>#VALUE!</v>
      </c>
      <c r="O38" s="90" t="e">
        <f>DATE(YEAR(N35+2),5,1)</f>
        <v>#VALUE!</v>
      </c>
      <c r="P38" s="89" t="e">
        <f>DATE(YEAR(Q35),5,1)</f>
        <v>#VALUE!</v>
      </c>
      <c r="Q38" s="82" t="e">
        <f>DATE(YEAR(Q35+1),5,1)</f>
        <v>#VALUE!</v>
      </c>
      <c r="R38" s="90" t="e">
        <f>DATE(YEAR(Q35+2),5,1)</f>
        <v>#VALUE!</v>
      </c>
      <c r="S38" s="89" t="e">
        <f>DATE(YEAR(T35),5,1)</f>
        <v>#VALUE!</v>
      </c>
      <c r="T38" s="82" t="e">
        <f>DATE(YEAR(T35+1),5,1)</f>
        <v>#VALUE!</v>
      </c>
      <c r="U38" s="90" t="e">
        <f>DATE(YEAR(T35+2),5,1)</f>
        <v>#VALUE!</v>
      </c>
      <c r="V38" s="89" t="e">
        <f>DATE(YEAR(W35),5,1)</f>
        <v>#VALUE!</v>
      </c>
      <c r="W38" s="82" t="e">
        <f>DATE(YEAR(W35+1),5,1)</f>
        <v>#VALUE!</v>
      </c>
      <c r="X38" s="90" t="e">
        <f>DATE(YEAR(W35+2),5,1)</f>
        <v>#VALUE!</v>
      </c>
    </row>
    <row r="39" spans="1:24" ht="13.5" customHeight="1">
      <c r="A39" s="4" t="s">
        <v>1058</v>
      </c>
      <c r="B39" s="41" t="str">
        <f>IF(AND(Demande!$L$77=TRUE,A37&lt;&gt;""),Demande!$M$18+Demande!$M$19,"")</f>
        <v/>
      </c>
      <c r="C39" s="41" t="str">
        <f>IF(AND(Demande!$L$77=TRUE,A37&lt;&gt;""),IF(OR(Demande!$L$83=3,Demande!$L$83=5,Demande!$L$83=6),IF(OR(Demande!$L$75=1,Demande!$L$76=TRUE),Demande!$M$16,Demande!$M$17)),"")</f>
        <v/>
      </c>
      <c r="D39" s="41" t="str">
        <f>IF(AND(Demande!$L$77=TRUE,A37&lt;&gt;""),Demande!$M$20,"")</f>
        <v/>
      </c>
      <c r="F39" s="149" t="str">
        <f>IF(AND(Demande!$L$77=TRUE,A37&lt;&gt;""),"Demande","")</f>
        <v/>
      </c>
      <c r="G39" s="140" t="str">
        <f>IF(AND(Demande!$L$77=TRUE,A37&lt;&gt;""),Demande!$G$20,"")</f>
        <v/>
      </c>
      <c r="I39" s="17" t="str">
        <f>IF(Demande!$B$20&lt;&gt;"",DATE(YEAR(J39),7,16),"")</f>
        <v/>
      </c>
      <c r="J39" s="25" t="str">
        <f ca="1">IF(Demande!$G$20&lt;&gt;"",IF(AND(G40&lt;&gt;"",B45=""),G40+Demande!$M$18+Demande!$M$19,IF(B45&lt;&gt;"",B45,B41)),"")</f>
        <v/>
      </c>
      <c r="K39" s="25" t="str">
        <f ca="1">IF(OR(AND(I41&lt;&gt;0,I41&lt;&gt;31),AND(I41=31,B41=I39)),I40+1,J39)</f>
        <v/>
      </c>
      <c r="L39" s="283">
        <v>37458</v>
      </c>
      <c r="M39" s="89" t="e">
        <f>DATE(YEAR(N35),7,21)</f>
        <v>#VALUE!</v>
      </c>
      <c r="N39" s="82" t="e">
        <f>DATE(YEAR(N35+1),7,21)</f>
        <v>#VALUE!</v>
      </c>
      <c r="O39" s="90" t="e">
        <f>DATE(YEAR(N35+2),7,21)</f>
        <v>#VALUE!</v>
      </c>
      <c r="P39" s="89" t="e">
        <f>DATE(YEAR(Q35),7,21)</f>
        <v>#VALUE!</v>
      </c>
      <c r="Q39" s="82" t="e">
        <f>DATE(YEAR(Q35+1),7,21)</f>
        <v>#VALUE!</v>
      </c>
      <c r="R39" s="90" t="e">
        <f>DATE(YEAR(Q35+2),7,21)</f>
        <v>#VALUE!</v>
      </c>
      <c r="S39" s="89" t="e">
        <f>DATE(YEAR(T35),7,21)</f>
        <v>#VALUE!</v>
      </c>
      <c r="T39" s="82" t="e">
        <f>DATE(YEAR(T35+1),7,21)</f>
        <v>#VALUE!</v>
      </c>
      <c r="U39" s="90" t="e">
        <f>DATE(YEAR(T35+2),7,21)</f>
        <v>#VALUE!</v>
      </c>
      <c r="V39" s="89" t="e">
        <f>DATE(YEAR(W35),7,21)</f>
        <v>#VALUE!</v>
      </c>
      <c r="W39" s="82" t="e">
        <f>DATE(YEAR(W35+1),7,21)</f>
        <v>#VALUE!</v>
      </c>
      <c r="X39" s="90" t="e">
        <f>DATE(YEAR(W35+2),7,21)</f>
        <v>#VALUE!</v>
      </c>
    </row>
    <row r="40" spans="1:24" ht="13.5" customHeight="1">
      <c r="A40" s="4" t="s">
        <v>37</v>
      </c>
      <c r="B40" s="43" t="str">
        <f>IF(A37&lt;&gt;"",IF(OR(Demande!$L$83=3,Demande!$L$83=6),IF(B45&lt;&gt;"",B45-IF(G40&lt;&gt;"",G40,Demande!$G$20),""),""),"")</f>
        <v/>
      </c>
      <c r="C40" s="43" t="str">
        <f>IF(OR(Demande!$L$83=3,Demande!$L$83=6),IF(AND(B45&lt;&gt;"",C45&lt;&gt;""),C45-B45+1-S52-MAX(I41,I45),""),"")</f>
        <v/>
      </c>
      <c r="D40" s="43" t="str">
        <f>IF(Demande!$L$77=TRUE,IF(Demande!$B$20&lt;&gt;"",IF(D44&lt;&gt;"",D44-C46,""),""),"")</f>
        <v/>
      </c>
      <c r="F40" s="149" t="str">
        <f>IF(AND(Demande!$L$77=TRUE,A37&lt;&gt;""),"Réception","")</f>
        <v/>
      </c>
      <c r="G40" s="56"/>
      <c r="I40" s="17" t="str">
        <f>IF(Demande!$B$20&lt;&gt;"",I39+30,"")</f>
        <v/>
      </c>
      <c r="J40" s="25" t="str">
        <f>IF(B41&lt;&gt;"",T55+S72,"")</f>
        <v/>
      </c>
      <c r="L40" s="283">
        <v>37483</v>
      </c>
      <c r="M40" s="89" t="e">
        <f>DATE(YEAR(N35),8,15)</f>
        <v>#VALUE!</v>
      </c>
      <c r="N40" s="82" t="e">
        <f>DATE(YEAR(N35+1),8,15)</f>
        <v>#VALUE!</v>
      </c>
      <c r="O40" s="90" t="e">
        <f>DATE(YEAR(N35+2),8,15)</f>
        <v>#VALUE!</v>
      </c>
      <c r="P40" s="89" t="e">
        <f>DATE(YEAR(Q35),8,15)</f>
        <v>#VALUE!</v>
      </c>
      <c r="Q40" s="82" t="e">
        <f>DATE(YEAR(Q35+1),8,15)</f>
        <v>#VALUE!</v>
      </c>
      <c r="R40" s="90" t="e">
        <f>DATE(YEAR(Q35+2),8,15)</f>
        <v>#VALUE!</v>
      </c>
      <c r="S40" s="89" t="e">
        <f>DATE(YEAR(T35),8,15)</f>
        <v>#VALUE!</v>
      </c>
      <c r="T40" s="82" t="e">
        <f>DATE(YEAR(T35+1),8,15)</f>
        <v>#VALUE!</v>
      </c>
      <c r="U40" s="90" t="e">
        <f>DATE(YEAR(T35+2),8,15)</f>
        <v>#VALUE!</v>
      </c>
      <c r="V40" s="89" t="e">
        <f>DATE(YEAR(W35),8,15)</f>
        <v>#VALUE!</v>
      </c>
      <c r="W40" s="82" t="e">
        <f>DATE(YEAR(W35+1),8,15)</f>
        <v>#VALUE!</v>
      </c>
      <c r="X40" s="90" t="e">
        <f>DATE(YEAR(W35+2),8,15)</f>
        <v>#VALUE!</v>
      </c>
    </row>
    <row r="41" spans="1:24" ht="13.5" customHeight="1">
      <c r="A41" s="208" t="s">
        <v>1050</v>
      </c>
      <c r="B41" s="46" t="str">
        <f>IF(A37&lt;&gt;"",IF(Demande!$G$20&lt;&gt;"",IF(OR(Demande!$L$83=3,Demande!$L$83=5,Demande!$L$83=6),IF(B46&lt;&gt;"",B46+Demande!$M$19,IF(G40&lt;&gt;"",G40+B39,Demande!$G$20+B39)),""),""),"")</f>
        <v/>
      </c>
      <c r="C41" s="46" t="str">
        <f>IF(A37&lt;&gt;"",IF(OR(Demande!$L$83=3,Demande!$L$83=6),IF(B41&lt;&gt;"",T15+S32,""),""),"")</f>
        <v/>
      </c>
      <c r="D41" s="46" t="str">
        <f>IF(A37&lt;&gt;"",IF(B41&lt;&gt;"",IF(OR(Demande!$L$83=3,Demande!$L$83=6),C41+D39,""),""),"")</f>
        <v/>
      </c>
      <c r="I41" s="64">
        <f>IF(Demande!$B$20&lt;&gt;"",IF(B41&lt;&gt;"",IF(AND(J39&lt;=I39,J40&gt;=I39),31,IF(AND(J39&gt;=I39,J40&lt;=I40),I40-J39+1,IF(AND(J39&gt;I39,J39&lt;=I40,J40&gt;=I40),I40-J39+1,0))),0),0)</f>
        <v>0</v>
      </c>
      <c r="J41" s="25" t="str">
        <f>IF(A37&lt;&gt;"",IF(Demande!$B$20&lt;&gt;"",IF(B45&lt;&gt;"",T35+S52,IF(B41&lt;&gt;"",T15+S32,""))),"")</f>
        <v/>
      </c>
      <c r="K41" s="322">
        <f>IF(Demande!$B$20&lt;&gt;"",IF(B41&lt;&gt;"",IF(AND(B41&lt;=I39,J40&gt;=I39),31,IF(AND(B41&gt;=I39,J40&lt;=I40),I40-B41+1,IF(AND(B41&gt;I39,B41&lt;=I40,J40&gt;=I40),I40-B41+1,0))),0),0)</f>
        <v>0</v>
      </c>
      <c r="L41" s="283">
        <v>37561</v>
      </c>
      <c r="M41" s="89" t="e">
        <f>DATE(YEAR(N35),11,1)</f>
        <v>#VALUE!</v>
      </c>
      <c r="N41" s="82" t="e">
        <f>DATE(YEAR(N35+1),11,1)</f>
        <v>#VALUE!</v>
      </c>
      <c r="O41" s="90" t="e">
        <f>DATE(YEAR(N35+2),11,1)</f>
        <v>#VALUE!</v>
      </c>
      <c r="P41" s="89" t="e">
        <f>DATE(YEAR(Q35),11,1)</f>
        <v>#VALUE!</v>
      </c>
      <c r="Q41" s="82" t="e">
        <f>DATE(YEAR(Q35+1),11,1)</f>
        <v>#VALUE!</v>
      </c>
      <c r="R41" s="90" t="e">
        <f>DATE(YEAR(Q35+2),11,1)</f>
        <v>#VALUE!</v>
      </c>
      <c r="S41" s="89" t="e">
        <f>DATE(YEAR(T35),11,1)</f>
        <v>#VALUE!</v>
      </c>
      <c r="T41" s="82" t="e">
        <f>DATE(YEAR(T35+1),11,1)</f>
        <v>#VALUE!</v>
      </c>
      <c r="U41" s="90" t="e">
        <f>DATE(YEAR(T35+2),11,1)</f>
        <v>#VALUE!</v>
      </c>
      <c r="V41" s="89" t="e">
        <f>DATE(YEAR(W35),11,1)</f>
        <v>#VALUE!</v>
      </c>
      <c r="W41" s="82" t="e">
        <f>DATE(YEAR(W35+1),11,1)</f>
        <v>#VALUE!</v>
      </c>
      <c r="X41" s="90" t="e">
        <f>DATE(YEAR(W35+2),11,1)</f>
        <v>#VALUE!</v>
      </c>
    </row>
    <row r="42" spans="1:24" ht="13.5" customHeight="1">
      <c r="A42" s="4" t="s">
        <v>44</v>
      </c>
      <c r="B42" s="50" t="str">
        <f>IF(A37&lt;&gt;"",IF(Demande!$B$20&lt;&gt;"",IF(OR(Demande!$L$83=3,Demande!$L$83=6),IF(B45="",B41,IF(I45&lt;&gt;0,K43,IF(I41&lt;&gt;0,K39,B45))),""),""),"")</f>
        <v/>
      </c>
      <c r="C42" s="50" t="str">
        <f>IF(A37&lt;&gt;"",IF(OR(Demande!$L$83=3,Demande!$L$83=6),IF(C45&lt;&gt;"",C45,IF(Demande!$G$20&lt;&gt;"",J41,"")),""),"")</f>
        <v/>
      </c>
      <c r="D42" s="50" t="str">
        <f>IF(A37&lt;&gt;"",IF(B42&lt;&gt;"",IF(Demande!$G$20&lt;&gt;"",IF(D44&lt;&gt;"",D44,C42+D39),""),""),"")</f>
        <v/>
      </c>
      <c r="F42" s="386" t="str">
        <f>IF(AND($I$3&gt;0,A37&lt;&gt;""),"Neutralisation de l'enquête","")</f>
        <v/>
      </c>
      <c r="G42" s="387"/>
      <c r="I42" s="1"/>
      <c r="J42" s="198" t="s">
        <v>1013</v>
      </c>
      <c r="L42" s="283">
        <v>37571</v>
      </c>
      <c r="M42" s="89" t="e">
        <f>DATE(YEAR(N35),11,11)</f>
        <v>#VALUE!</v>
      </c>
      <c r="N42" s="82" t="e">
        <f>DATE(YEAR(N35+1),11,11)</f>
        <v>#VALUE!</v>
      </c>
      <c r="O42" s="90" t="e">
        <f>DATE(YEAR(N35+2),11,11)</f>
        <v>#VALUE!</v>
      </c>
      <c r="P42" s="89" t="e">
        <f>DATE(YEAR(Q35),11,11)</f>
        <v>#VALUE!</v>
      </c>
      <c r="Q42" s="82" t="e">
        <f>DATE(YEAR(Q35+1),11,11)</f>
        <v>#VALUE!</v>
      </c>
      <c r="R42" s="90" t="e">
        <f>DATE(YEAR(Q35+2),11,11)</f>
        <v>#VALUE!</v>
      </c>
      <c r="S42" s="89" t="e">
        <f>DATE(YEAR(T35),11,11)</f>
        <v>#VALUE!</v>
      </c>
      <c r="T42" s="82" t="e">
        <f>DATE(YEAR(T35+1),11,11)</f>
        <v>#VALUE!</v>
      </c>
      <c r="U42" s="90" t="e">
        <f>DATE(YEAR(T35+2),11,11)</f>
        <v>#VALUE!</v>
      </c>
      <c r="V42" s="89" t="e">
        <f>DATE(YEAR(W35),11,11)</f>
        <v>#VALUE!</v>
      </c>
      <c r="W42" s="82" t="e">
        <f>DATE(YEAR(W35+1),11,11)</f>
        <v>#VALUE!</v>
      </c>
      <c r="X42" s="90" t="e">
        <f>DATE(YEAR(W35+2),11,11)</f>
        <v>#VALUE!</v>
      </c>
    </row>
    <row r="43" spans="1:24" ht="13.5" customHeight="1">
      <c r="A43" s="4" t="s">
        <v>47</v>
      </c>
      <c r="B43" s="50" t="str">
        <f>TEXT(B42,"jjjj")</f>
        <v/>
      </c>
      <c r="C43" s="50" t="str">
        <f>TEXT(C42,"jjjj")</f>
        <v/>
      </c>
      <c r="D43" s="50" t="str">
        <f>TEXT(D42,"jjjj")</f>
        <v/>
      </c>
      <c r="F43" s="379" t="str">
        <f>IF(I3&lt;&gt;0,IF(AND(Demande!$L$77=TRUE,A37&lt;&gt;""),CONCATENATE(MAX(I41,I45),IF(MAX(I41,I45)&lt;=1," jour"," jours")),""),"")</f>
        <v/>
      </c>
      <c r="G43" s="380"/>
      <c r="I43" s="17" t="str">
        <f>IF(Demande!$B$20&lt;&gt;"",IF(B46&lt;&gt;"",DATE(YEAR(B46),12,24),IF(B41&lt;&gt;"",DATE(YEAR(B41-1),12,24),"")),"")</f>
        <v/>
      </c>
      <c r="J43" s="25" t="str">
        <f>IF(Demande!$B$20&lt;&gt;"",IF(Demande!$L$83=3,IF(AND(J39&gt;=I43,J39&lt;=I44),I44+1,IF(B45&lt;&gt;"",B45,B41)),""),"")</f>
        <v/>
      </c>
      <c r="K43" s="25" t="str">
        <f>IF(AND(I45&lt;&gt;0,I45&lt;&gt;9),I44+1,J43)</f>
        <v/>
      </c>
      <c r="L43" s="283">
        <v>37615</v>
      </c>
      <c r="M43" s="89" t="e">
        <f>DATE(YEAR(N35),12,25)</f>
        <v>#VALUE!</v>
      </c>
      <c r="N43" s="82" t="e">
        <f>DATE(YEAR(N35+1),12,25)</f>
        <v>#VALUE!</v>
      </c>
      <c r="O43" s="90" t="e">
        <f>DATE(YEAR(N35+2),12,25)</f>
        <v>#VALUE!</v>
      </c>
      <c r="P43" s="89" t="e">
        <f>DATE(YEAR(Q35),12,25)</f>
        <v>#VALUE!</v>
      </c>
      <c r="Q43" s="82" t="e">
        <f>DATE(YEAR(Q35+1),12,25)</f>
        <v>#VALUE!</v>
      </c>
      <c r="R43" s="90" t="e">
        <f>DATE(YEAR(Q35+2),12,25)</f>
        <v>#VALUE!</v>
      </c>
      <c r="S43" s="89" t="e">
        <f>DATE(YEAR(T35),12,25)</f>
        <v>#VALUE!</v>
      </c>
      <c r="T43" s="82" t="e">
        <f>DATE(YEAR(T35+1),12,25)</f>
        <v>#VALUE!</v>
      </c>
      <c r="U43" s="90" t="e">
        <f>DATE(YEAR(T35+2),12,25)</f>
        <v>#VALUE!</v>
      </c>
      <c r="V43" s="89" t="e">
        <f>DATE(YEAR(W35),12,25)</f>
        <v>#VALUE!</v>
      </c>
      <c r="W43" s="82" t="e">
        <f>DATE(YEAR(W35+1),12,25)</f>
        <v>#VALUE!</v>
      </c>
      <c r="X43" s="90" t="e">
        <f>DATE(YEAR(W35+2),12,25)</f>
        <v>#VALUE!</v>
      </c>
    </row>
    <row r="44" spans="1:24" ht="13.5" customHeight="1">
      <c r="A44" s="260"/>
      <c r="B44" s="320" t="s">
        <v>1065</v>
      </c>
      <c r="C44" s="320" t="s">
        <v>1066</v>
      </c>
      <c r="D44" s="56"/>
      <c r="I44" s="17" t="str">
        <f>IF(Demande!$B$20&lt;&gt;"",IF(B41&lt;&gt;"",I43+8,""),"")</f>
        <v/>
      </c>
      <c r="J44" s="199"/>
      <c r="L44" s="47" t="s">
        <v>43</v>
      </c>
      <c r="M44" s="92" t="e">
        <f>IF(N35&lt;&gt;M37,IF(N35&lt;&gt;M38,IF(N35&lt;&gt;M39,IF(N35&lt;&gt;M40,IF(N35&lt;&gt;M41,IF(N35&lt;&gt;M42,IF(N35&lt;&gt;M43,0,1),1),1),1),1),1),1)</f>
        <v>#VALUE!</v>
      </c>
      <c r="N44" s="93" t="e">
        <f>IF(N35+1&lt;&gt;N37,IF(N35+1&lt;&gt;N38,IF(N35+1&lt;&gt;N39,IF(N35+1&lt;&gt;N40,IF(N35+1&lt;&gt;N41,IF(N35+1&lt;&gt;N42,IF(N35+1&lt;&gt;N43,0,1),1),1),1),1),1),1)</f>
        <v>#VALUE!</v>
      </c>
      <c r="O44" s="94" t="e">
        <f>IF(N35+2&lt;&gt;O37,IF(N35+2&lt;&gt;O38,IF(N35+2&lt;&gt;O39,IF(N35+2&lt;&gt;O40,IF(N35+2&lt;&gt;O41,IF(N35+2&lt;&gt;O42,IF(N35+2&lt;&gt;O43,0,1),1),1),1),1),1),1)</f>
        <v>#VALUE!</v>
      </c>
      <c r="P44" s="92" t="e">
        <f>IF(Q35&lt;&gt;P37,IF(Q35&lt;&gt;P38,IF(Q35&lt;&gt;P39,IF(Q35&lt;&gt;P40,IF(Q35&lt;&gt;P41,IF(Q35&lt;&gt;P42,IF(Q35&lt;&gt;P43,0,1),1),1),1),1),1),1)</f>
        <v>#VALUE!</v>
      </c>
      <c r="Q44" s="93" t="e">
        <f>IF(Q35+1&lt;&gt;Q37,IF(Q35+1&lt;&gt;Q38,IF(Q35+1&lt;&gt;Q39,IF(Q35+1&lt;&gt;Q40,IF(Q35+1&lt;&gt;Q41,IF(Q35+1&lt;&gt;Q42,IF(Q35+1&lt;&gt;Q43,0,1),1),1),1),1),1),1)</f>
        <v>#VALUE!</v>
      </c>
      <c r="R44" s="94" t="e">
        <f>IF(Q35+2&lt;&gt;R37,IF(Q35+2&lt;&gt;R38,IF(Q35+2&lt;&gt;R39,IF(Q35+2&lt;&gt;R40,IF(Q35+2&lt;&gt;R41,IF(Q35+2&lt;&gt;R42,IF(Q35+2&lt;&gt;R43,0,1),1),1),1),1),1),1)</f>
        <v>#VALUE!</v>
      </c>
      <c r="S44" s="92" t="e">
        <f>IF(T35&lt;&gt;S37,IF(T35&lt;&gt;S38,IF(T35&lt;&gt;S39,IF(T35&lt;&gt;S40,IF(T35&lt;&gt;S41,IF(T35&lt;&gt;S42,IF(T35&lt;&gt;S43,0,1),1),1),1),1),1),1)</f>
        <v>#VALUE!</v>
      </c>
      <c r="T44" s="93" t="e">
        <f>IF(T35+1&lt;&gt;T37,IF(T35+1&lt;&gt;T38,IF(T35+1&lt;&gt;T39,IF(T35+1&lt;&gt;T40,IF(T35+1&lt;&gt;T41,IF(T35+1&lt;&gt;T42,IF(T35+1&lt;&gt;T43,0,1),1),1),1),1),1),1)</f>
        <v>#VALUE!</v>
      </c>
      <c r="U44" s="94" t="e">
        <f>IF(T35+2&lt;&gt;U37,IF(T35+2&lt;&gt;U38,IF(T35+2&lt;&gt;U39,IF(T35+2&lt;&gt;U40,IF(T35+2&lt;&gt;U41,IF(T35+2&lt;&gt;U42,IF(T35+2&lt;&gt;U43,0,1),1),1),1),1),1),1)</f>
        <v>#VALUE!</v>
      </c>
      <c r="V44" s="92" t="e">
        <f>IF(W35&lt;&gt;V37,IF(W35&lt;&gt;V38,IF(W35&lt;&gt;V39,IF(W35&lt;&gt;V40,IF(W35&lt;&gt;V41,IF(W35&lt;&gt;V42,IF(W35&lt;&gt;V43,0,1),1),1),1),1),1),1)</f>
        <v>#VALUE!</v>
      </c>
      <c r="W44" s="93" t="e">
        <f>IF(W35+1&lt;&gt;W37,IF(W35+1&lt;&gt;W38,IF(W35+1&lt;&gt;W39,IF(W35+1&lt;&gt;W40,IF(W35+1&lt;&gt;W41,IF(W35+1&lt;&gt;W42,IF(W35+1&lt;&gt;W43,0,1),1),1),1),1),1),1)</f>
        <v>#VALUE!</v>
      </c>
      <c r="X44" s="94" t="e">
        <f>IF(W35+2&lt;&gt;X37,IF(W35+2&lt;&gt;X38,IF(W35+2&lt;&gt;X39,IF(W35+2&lt;&gt;X40,IF(W35+2&lt;&gt;X41,IF(W35+2&lt;&gt;X42,IF(W35+2&lt;&gt;X43,0,1),1),1),1),1),1),1)</f>
        <v>#VALUE!</v>
      </c>
    </row>
    <row r="45" spans="1:24" ht="13.5" customHeight="1">
      <c r="A45" s="319" t="s">
        <v>1051</v>
      </c>
      <c r="B45" s="56"/>
      <c r="C45" s="56"/>
      <c r="D45" s="66"/>
      <c r="I45" s="64">
        <f>IF(Demande!$B$20&lt;&gt;"",IF(B41&lt;&gt;"",IF(AND(J39&lt;=I43,J40&gt;=I43),9,IF(AND(J39&gt;=I43,J40&lt;=I44),I44-J39+1,IF(AND(J39&gt;I43,J39&lt;=I44,J40&gt;=I44),I44-J39+1,0))),0),0)</f>
        <v>0</v>
      </c>
      <c r="J45" s="25"/>
      <c r="K45" s="322">
        <f>IF(Demande!$B$20&lt;&gt;"",IF(B41&lt;&gt;"",IF(AND(B41&lt;=I43,J40&gt;=I43),9,IF(AND(B41&gt;=I43,J40&lt;=I44),I44-B41+1,IF(AND(B41&gt;I43,B41&lt;=I44,J40&gt;=I44),I44-B41+1,0))),0),0)</f>
        <v>0</v>
      </c>
      <c r="L45" s="282" t="s">
        <v>1056</v>
      </c>
      <c r="M45" s="256" t="e">
        <f>DATE(YEAR(N35),IF((25-MOD(11*MOD(YEAR(N35),19)+4-INT((7*MOD(YEAR(N35),19)+1)/19),29)-MOD(YEAR(N35)-1900+INT((YEAR(N35)-1900)/4)+31-MOD(11*MOD(YEAR(N35),19)+4-INT((7*MOD(YEAR(N35),19)+1)/19),29),7))&lt;=0,3,4),IF(25-MOD(11*MOD(YEAR(N35),19)+4-INT((7*MOD(YEAR(N35),19)+1)/19),29)-MOD(YEAR(N35)-1900+INT((YEAR(N35)-1900)/4)+31-MOD(11*MOD(YEAR(N35),19)+4-INT((7*MOD(YEAR(N35),19)+1)/19),29),7)&lt;=0,25-MOD(11*MOD(YEAR(N35),19)+4-INT((7*MOD(YEAR(N35),19)+1)/19),29)-MOD(YEAR(N35)-1900+INT((YEAR(N35)-1900)/4)+31-MOD(11*MOD(YEAR(N35),19)+4-INT((7*MOD(YEAR(N35),19)+1)/19),29),7)+31,25-MOD(11*MOD(YEAR(N35),19)+4-INT((7*MOD(YEAR(N35),19)+1)/19),29)-MOD(YEAR(N35)-1900+INT((YEAR(N35)-1900)/4)+31-MOD(11*MOD(YEAR(N35),19)+4-INT((7*MOD(YEAR(N35),19)+1)/19),29),7)))</f>
        <v>#VALUE!</v>
      </c>
      <c r="N45" s="256" t="e">
        <f>DATE(YEAR((N35+1)),IF((25-MOD(11*MOD(YEAR((N35+1)),19)+4-INT((7*MOD(YEAR((N35+1)),19)+1)/19),29)-MOD(YEAR((N35+1))-1900+INT((YEAR((N35+1))-1900)/4)+31-MOD(11*MOD(YEAR((N35+1)),19)+4-INT((7*MOD(YEAR((N35+1)),19)+1)/19),29),7))&lt;=0,3,4),IF(25-MOD(11*MOD(YEAR((N35+1)),19)+4-INT((7*MOD(YEAR((N35+1)),19)+1)/19),29)-MOD(YEAR((N35+1))-1900+INT((YEAR((N35+1))-1900)/4)+31-MOD(11*MOD(YEAR((N35+1)),19)+4-INT((7*MOD(YEAR((N35+1)),19)+1)/19),29),7)&lt;=0,25-MOD(11*MOD(YEAR((N35+1)),19)+4-INT((7*MOD(YEAR((N35+1)),19)+1)/19),29)-MOD(YEAR((N35+1))-1900+INT((YEAR((N35+1))-1900)/4)+31-MOD(11*MOD(YEAR((N35+1)),19)+4-INT((7*MOD(YEAR((N35+1)),19)+1)/19),29),7)+31,25-MOD(11*MOD(YEAR((N35+1)),19)+4-INT((7*MOD(YEAR((N35+1)),19)+1)/19),29)-MOD(YEAR((N35+1))-1900+INT((YEAR((N35+1))-1900)/4)+31-MOD(11*MOD(YEAR((N35+1)),19)+4-INT((7*MOD(YEAR((N35+1)),19)+1)/19),29),7)))</f>
        <v>#VALUE!</v>
      </c>
      <c r="O45" s="256" t="e">
        <f>DATE(YEAR((N35+2)),IF((25-MOD(11*MOD(YEAR((N35+2)),19)+4-INT((7*MOD(YEAR((N35+2)),19)+1)/19),29)-MOD(YEAR((N35+2))-1900+INT((YEAR((N35+2))-1900)/4)+31-MOD(11*MOD(YEAR((N35+2)),19)+4-INT((7*MOD(YEAR((N35+2)),19)+1)/19),29),7))&lt;=0,3,4),IF(25-MOD(11*MOD(YEAR((N35+2)),19)+4-INT((7*MOD(YEAR((N35+2)),19)+1)/19),29)-MOD(YEAR((N35+2))-1900+INT((YEAR((N35+2))-1900)/4)+31-MOD(11*MOD(YEAR((N35+2)),19)+4-INT((7*MOD(YEAR((N35+2)),19)+1)/19),29),7)&lt;=0,25-MOD(11*MOD(YEAR((N35+2)),19)+4-INT((7*MOD(YEAR((N35+2)),19)+1)/19),29)-MOD(YEAR((N35+2))-1900+INT((YEAR((N35+2))-1900)/4)+31-MOD(11*MOD(YEAR((N35+2)),19)+4-INT((7*MOD(YEAR((N35+2)),19)+1)/19),29),7)+31,25-MOD(11*MOD(YEAR((N35+2)),19)+4-INT((7*MOD(YEAR((N35+2)),19)+1)/19),29)-MOD(YEAR((N35+2))-1900+INT((YEAR((N35+2))-1900)/4)+31-MOD(11*MOD(YEAR((N35+2)),19)+4-INT((7*MOD(YEAR((N35+2)),19)+1)/19),29),7)))</f>
        <v>#VALUE!</v>
      </c>
      <c r="P45" s="256" t="e">
        <f>DATE(YEAR(Q35),IF((25-MOD(11*MOD(YEAR(Q35),19)+4-INT((7*MOD(YEAR(Q35),19)+1)/19),29)-MOD(YEAR(Q35)-1900+INT((YEAR(Q35)-1900)/4)+31-MOD(11*MOD(YEAR(Q35),19)+4-INT((7*MOD(YEAR(Q35),19)+1)/19),29),7))&lt;=0,3,4),IF(25-MOD(11*MOD(YEAR(Q35),19)+4-INT((7*MOD(YEAR(Q35),19)+1)/19),29)-MOD(YEAR(Q35)-1900+INT((YEAR(Q35)-1900)/4)+31-MOD(11*MOD(YEAR(Q35),19)+4-INT((7*MOD(YEAR(Q35),19)+1)/19),29),7)&lt;=0,25-MOD(11*MOD(YEAR(Q35),19)+4-INT((7*MOD(YEAR(Q35),19)+1)/19),29)-MOD(YEAR(Q35)-1900+INT((YEAR(Q35)-1900)/4)+31-MOD(11*MOD(YEAR(Q35),19)+4-INT((7*MOD(YEAR(Q35),19)+1)/19),29),7)+31,25-MOD(11*MOD(YEAR(Q35),19)+4-INT((7*MOD(YEAR(Q35),19)+1)/19),29)-MOD(YEAR(Q35)-1900+INT((YEAR(Q35)-1900)/4)+31-MOD(11*MOD(YEAR(Q35),19)+4-INT((7*MOD(YEAR(Q35),19)+1)/19),29),7)))</f>
        <v>#VALUE!</v>
      </c>
      <c r="Q45" s="256" t="e">
        <f>DATE(YEAR((Q35+1)),IF((25-MOD(11*MOD(YEAR((Q35+1)),19)+4-INT((7*MOD(YEAR((Q35+1)),19)+1)/19),29)-MOD(YEAR((Q35+1))-1900+INT((YEAR((Q35+1))-1900)/4)+31-MOD(11*MOD(YEAR((Q35+1)),19)+4-INT((7*MOD(YEAR((Q35+1)),19)+1)/19),29),7))&lt;=0,3,4),IF(25-MOD(11*MOD(YEAR((Q35+1)),19)+4-INT((7*MOD(YEAR((Q35+1)),19)+1)/19),29)-MOD(YEAR((Q35+1))-1900+INT((YEAR((Q35+1))-1900)/4)+31-MOD(11*MOD(YEAR((Q35+1)),19)+4-INT((7*MOD(YEAR((Q35+1)),19)+1)/19),29),7)&lt;=0,25-MOD(11*MOD(YEAR((Q35+1)),19)+4-INT((7*MOD(YEAR((Q35+1)),19)+1)/19),29)-MOD(YEAR((Q35+1))-1900+INT((YEAR((Q35+1))-1900)/4)+31-MOD(11*MOD(YEAR((Q35+1)),19)+4-INT((7*MOD(YEAR((Q35+1)),19)+1)/19),29),7)+31,25-MOD(11*MOD(YEAR((Q35+1)),19)+4-INT((7*MOD(YEAR((Q35+1)),19)+1)/19),29)-MOD(YEAR((Q35+1))-1900+INT((YEAR((Q35+1))-1900)/4)+31-MOD(11*MOD(YEAR((Q35+1)),19)+4-INT((7*MOD(YEAR((Q35+1)),19)+1)/19),29),7)))</f>
        <v>#VALUE!</v>
      </c>
      <c r="R45" s="256" t="e">
        <f>DATE(YEAR((Q35+2)),IF((25-MOD(11*MOD(YEAR((Q35+2)),19)+4-INT((7*MOD(YEAR((Q35+2)),19)+1)/19),29)-MOD(YEAR((Q35+2))-1900+INT((YEAR((Q35+2))-1900)/4)+31-MOD(11*MOD(YEAR((Q35+2)),19)+4-INT((7*MOD(YEAR((Q35+2)),19)+1)/19),29),7))&lt;=0,3,4),IF(25-MOD(11*MOD(YEAR((Q35+2)),19)+4-INT((7*MOD(YEAR((Q35+2)),19)+1)/19),29)-MOD(YEAR((Q35+2))-1900+INT((YEAR((Q35+2))-1900)/4)+31-MOD(11*MOD(YEAR((Q35+2)),19)+4-INT((7*MOD(YEAR((Q35+2)),19)+1)/19),29),7)&lt;=0,25-MOD(11*MOD(YEAR((Q35+2)),19)+4-INT((7*MOD(YEAR((Q35+2)),19)+1)/19),29)-MOD(YEAR((Q35+2))-1900+INT((YEAR((Q35+2))-1900)/4)+31-MOD(11*MOD(YEAR((Q35+2)),19)+4-INT((7*MOD(YEAR((Q35+2)),19)+1)/19),29),7)+31,25-MOD(11*MOD(YEAR((Q35+2)),19)+4-INT((7*MOD(YEAR((Q35+2)),19)+1)/19),29)-MOD(YEAR((Q35+2))-1900+INT((YEAR((Q35+2))-1900)/4)+31-MOD(11*MOD(YEAR((Q35+2)),19)+4-INT((7*MOD(YEAR((Q35+2)),19)+1)/19),29),7)))</f>
        <v>#VALUE!</v>
      </c>
      <c r="S45" s="256" t="e">
        <f>DATE(YEAR(T35),IF((25-MOD(11*MOD(YEAR(T35),19)+4-INT((7*MOD(YEAR(T35),19)+1)/19),29)-MOD(YEAR(T35)-1900+INT((YEAR(T35)-1900)/4)+31-MOD(11*MOD(YEAR(T35),19)+4-INT((7*MOD(YEAR(T35),19)+1)/19),29),7))&lt;=0,3,4),IF(25-MOD(11*MOD(YEAR(T35),19)+4-INT((7*MOD(YEAR(T35),19)+1)/19),29)-MOD(YEAR(T35)-1900+INT((YEAR(T35)-1900)/4)+31-MOD(11*MOD(YEAR(T35),19)+4-INT((7*MOD(YEAR(T35),19)+1)/19),29),7)&lt;=0,25-MOD(11*MOD(YEAR(T35),19)+4-INT((7*MOD(YEAR(T35),19)+1)/19),29)-MOD(YEAR(T35)-1900+INT((YEAR(T35)-1900)/4)+31-MOD(11*MOD(YEAR(T35),19)+4-INT((7*MOD(YEAR(T35),19)+1)/19),29),7)+31,25-MOD(11*MOD(YEAR(T35),19)+4-INT((7*MOD(YEAR(T35),19)+1)/19),29)-MOD(YEAR(T35)-1900+INT((YEAR(T35)-1900)/4)+31-MOD(11*MOD(YEAR(T35),19)+4-INT((7*MOD(YEAR(T35),19)+1)/19),29),7)))</f>
        <v>#VALUE!</v>
      </c>
      <c r="T45" s="256" t="e">
        <f>DATE(YEAR((T35+1)),IF((25-MOD(11*MOD(YEAR((T35+1)),19)+4-INT((7*MOD(YEAR((T35+1)),19)+1)/19),29)-MOD(YEAR((T35+1))-1900+INT((YEAR((T35+1))-1900)/4)+31-MOD(11*MOD(YEAR((T35+1)),19)+4-INT((7*MOD(YEAR((T35+1)),19)+1)/19),29),7))&lt;=0,3,4),IF(25-MOD(11*MOD(YEAR((T35+1)),19)+4-INT((7*MOD(YEAR((T35+1)),19)+1)/19),29)-MOD(YEAR((T35+1))-1900+INT((YEAR((T35+1))-1900)/4)+31-MOD(11*MOD(YEAR((T35+1)),19)+4-INT((7*MOD(YEAR((T35+1)),19)+1)/19),29),7)&lt;=0,25-MOD(11*MOD(YEAR((T35+1)),19)+4-INT((7*MOD(YEAR((T35+1)),19)+1)/19),29)-MOD(YEAR((T35+1))-1900+INT((YEAR((T35+1))-1900)/4)+31-MOD(11*MOD(YEAR((T35+1)),19)+4-INT((7*MOD(YEAR((T35+1)),19)+1)/19),29),7)+31,25-MOD(11*MOD(YEAR((T35+1)),19)+4-INT((7*MOD(YEAR((T35+1)),19)+1)/19),29)-MOD(YEAR((T35+1))-1900+INT((YEAR((T35+1))-1900)/4)+31-MOD(11*MOD(YEAR((T35+1)),19)+4-INT((7*MOD(YEAR((T35+1)),19)+1)/19),29),7)))</f>
        <v>#VALUE!</v>
      </c>
      <c r="U45" s="256" t="e">
        <f>DATE(YEAR((T35+2)),IF((25-MOD(11*MOD(YEAR((T35+2)),19)+4-INT((7*MOD(YEAR((T35+2)),19)+1)/19),29)-MOD(YEAR((T35+2))-1900+INT((YEAR((T35+2))-1900)/4)+31-MOD(11*MOD(YEAR((T35+2)),19)+4-INT((7*MOD(YEAR((T35+2)),19)+1)/19),29),7))&lt;=0,3,4),IF(25-MOD(11*MOD(YEAR((T35+2)),19)+4-INT((7*MOD(YEAR((T35+2)),19)+1)/19),29)-MOD(YEAR((T35+2))-1900+INT((YEAR((T35+2))-1900)/4)+31-MOD(11*MOD(YEAR((T35+2)),19)+4-INT((7*MOD(YEAR((T35+2)),19)+1)/19),29),7)&lt;=0,25-MOD(11*MOD(YEAR((T35+2)),19)+4-INT((7*MOD(YEAR((T35+2)),19)+1)/19),29)-MOD(YEAR((T35+2))-1900+INT((YEAR((T35+2))-1900)/4)+31-MOD(11*MOD(YEAR((T35+2)),19)+4-INT((7*MOD(YEAR((T35+2)),19)+1)/19),29),7)+31,25-MOD(11*MOD(YEAR((T35+2)),19)+4-INT((7*MOD(YEAR((T35+2)),19)+1)/19),29)-MOD(YEAR((T35+2))-1900+INT((YEAR((T35+2))-1900)/4)+31-MOD(11*MOD(YEAR((T35+2)),19)+4-INT((7*MOD(YEAR((T35+2)),19)+1)/19),29),7)))</f>
        <v>#VALUE!</v>
      </c>
      <c r="V45" s="256" t="e">
        <f>DATE(YEAR(W35),IF((25-MOD(11*MOD(YEAR(W35),19)+4-INT((7*MOD(YEAR(W35),19)+1)/19),29)-MOD(YEAR(W35)-1900+INT((YEAR(W35)-1900)/4)+31-MOD(11*MOD(YEAR(W35),19)+4-INT((7*MOD(YEAR(W35),19)+1)/19),29),7))&lt;=0,3,4),IF(25-MOD(11*MOD(YEAR(W35),19)+4-INT((7*MOD(YEAR(W35),19)+1)/19),29)-MOD(YEAR(W35)-1900+INT((YEAR(W35)-1900)/4)+31-MOD(11*MOD(YEAR(W35),19)+4-INT((7*MOD(YEAR(W35),19)+1)/19),29),7)&lt;=0,25-MOD(11*MOD(YEAR(W35),19)+4-INT((7*MOD(YEAR(W35),19)+1)/19),29)-MOD(YEAR(W35)-1900+INT((YEAR(W35)-1900)/4)+31-MOD(11*MOD(YEAR(W35),19)+4-INT((7*MOD(YEAR(W35),19)+1)/19),29),7)+31,25-MOD(11*MOD(YEAR(W35),19)+4-INT((7*MOD(YEAR(W35),19)+1)/19),29)-MOD(YEAR(W35)-1900+INT((YEAR(W35)-1900)/4)+31-MOD(11*MOD(YEAR(W35),19)+4-INT((7*MOD(YEAR(W35),19)+1)/19),29),7)))</f>
        <v>#VALUE!</v>
      </c>
      <c r="W45" s="256" t="e">
        <f>DATE(YEAR((W35+1)),IF((25-MOD(11*MOD(YEAR((W35+1)),19)+4-INT((7*MOD(YEAR((W35+1)),19)+1)/19),29)-MOD(YEAR((W35+1))-1900+INT((YEAR((W35+1))-1900)/4)+31-MOD(11*MOD(YEAR((W35+1)),19)+4-INT((7*MOD(YEAR((W35+1)),19)+1)/19),29),7))&lt;=0,3,4),IF(25-MOD(11*MOD(YEAR((W35+1)),19)+4-INT((7*MOD(YEAR((W35+1)),19)+1)/19),29)-MOD(YEAR((W35+1))-1900+INT((YEAR((W35+1))-1900)/4)+31-MOD(11*MOD(YEAR((W35+1)),19)+4-INT((7*MOD(YEAR((W35+1)),19)+1)/19),29),7)&lt;=0,25-MOD(11*MOD(YEAR((W35+1)),19)+4-INT((7*MOD(YEAR((W35+1)),19)+1)/19),29)-MOD(YEAR((W35+1))-1900+INT((YEAR((W35+1))-1900)/4)+31-MOD(11*MOD(YEAR((W35+1)),19)+4-INT((7*MOD(YEAR((W35+1)),19)+1)/19),29),7)+31,25-MOD(11*MOD(YEAR((W35+1)),19)+4-INT((7*MOD(YEAR((W35+1)),19)+1)/19),29)-MOD(YEAR((W35+1))-1900+INT((YEAR((W35+1))-1900)/4)+31-MOD(11*MOD(YEAR((W35+1)),19)+4-INT((7*MOD(YEAR((W35+1)),19)+1)/19),29),7)))</f>
        <v>#VALUE!</v>
      </c>
      <c r="X45" s="256" t="e">
        <f>DATE(YEAR((W35+2)),IF((25-MOD(11*MOD(YEAR((W35+2)),19)+4-INT((7*MOD(YEAR((W35+2)),19)+1)/19),29)-MOD(YEAR((W35+2))-1900+INT((YEAR((W35+2))-1900)/4)+31-MOD(11*MOD(YEAR((W35+2)),19)+4-INT((7*MOD(YEAR((W35+2)),19)+1)/19),29),7))&lt;=0,3,4),IF(25-MOD(11*MOD(YEAR((W35+2)),19)+4-INT((7*MOD(YEAR((W35+2)),19)+1)/19),29)-MOD(YEAR((W35+2))-1900+INT((YEAR((W35+2))-1900)/4)+31-MOD(11*MOD(YEAR((W35+2)),19)+4-INT((7*MOD(YEAR((W35+2)),19)+1)/19),29),7)&lt;=0,25-MOD(11*MOD(YEAR((W35+2)),19)+4-INT((7*MOD(YEAR((W35+2)),19)+1)/19),29)-MOD(YEAR((W35+2))-1900+INT((YEAR((W35+2))-1900)/4)+31-MOD(11*MOD(YEAR((W35+2)),19)+4-INT((7*MOD(YEAR((W35+2)),19)+1)/19),29),7)+31,25-MOD(11*MOD(YEAR((W35+2)),19)+4-INT((7*MOD(YEAR((W35+2)),19)+1)/19),29)-MOD(YEAR((W35+2))-1900+INT((YEAR((W35+2))-1900)/4)+31-MOD(11*MOD(YEAR((W35+2)),19)+4-INT((7*MOD(YEAR((W35+2)),19)+1)/19),29),7)))</f>
        <v>#VALUE!</v>
      </c>
    </row>
    <row r="46" spans="1:24" ht="13.5" customHeight="1">
      <c r="A46" s="319" t="s">
        <v>1067</v>
      </c>
      <c r="B46" s="56"/>
      <c r="C46" s="56"/>
      <c r="D46" s="1"/>
      <c r="L46" s="282" t="s">
        <v>46</v>
      </c>
      <c r="M46" s="89" t="e">
        <f t="shared" ref="M46:X46" si="4">M45+1</f>
        <v>#VALUE!</v>
      </c>
      <c r="N46" s="110" t="e">
        <f t="shared" si="4"/>
        <v>#VALUE!</v>
      </c>
      <c r="O46" s="90" t="e">
        <f t="shared" si="4"/>
        <v>#VALUE!</v>
      </c>
      <c r="P46" s="89" t="e">
        <f t="shared" si="4"/>
        <v>#VALUE!</v>
      </c>
      <c r="Q46" s="110" t="e">
        <f t="shared" si="4"/>
        <v>#VALUE!</v>
      </c>
      <c r="R46" s="90" t="e">
        <f t="shared" si="4"/>
        <v>#VALUE!</v>
      </c>
      <c r="S46" s="89" t="e">
        <f t="shared" si="4"/>
        <v>#VALUE!</v>
      </c>
      <c r="T46" s="110" t="e">
        <f t="shared" si="4"/>
        <v>#VALUE!</v>
      </c>
      <c r="U46" s="90" t="e">
        <f t="shared" si="4"/>
        <v>#VALUE!</v>
      </c>
      <c r="V46" s="89" t="e">
        <f t="shared" si="4"/>
        <v>#VALUE!</v>
      </c>
      <c r="W46" s="110" t="e">
        <f t="shared" si="4"/>
        <v>#VALUE!</v>
      </c>
      <c r="X46" s="90" t="e">
        <f t="shared" si="4"/>
        <v>#VALUE!</v>
      </c>
    </row>
    <row r="47" spans="1:24" ht="13.5" customHeight="1">
      <c r="A47" s="262"/>
      <c r="B47" s="263"/>
      <c r="C47" s="263"/>
      <c r="D47" s="263"/>
      <c r="E47" s="261"/>
      <c r="F47" s="388"/>
      <c r="G47" s="388"/>
      <c r="H47" s="261"/>
      <c r="I47" s="264"/>
      <c r="J47" s="264"/>
      <c r="K47" s="265"/>
      <c r="L47" s="282" t="s">
        <v>49</v>
      </c>
      <c r="M47" s="89" t="e">
        <f>M45+39</f>
        <v>#VALUE!</v>
      </c>
      <c r="N47" s="110" t="e">
        <f>N45+39</f>
        <v>#VALUE!</v>
      </c>
      <c r="O47" s="90" t="e">
        <f>O45+39</f>
        <v>#VALUE!</v>
      </c>
      <c r="P47" s="89" t="e">
        <f t="shared" ref="P47:X47" si="5">P45+39</f>
        <v>#VALUE!</v>
      </c>
      <c r="Q47" s="110" t="e">
        <f t="shared" si="5"/>
        <v>#VALUE!</v>
      </c>
      <c r="R47" s="90" t="e">
        <f t="shared" si="5"/>
        <v>#VALUE!</v>
      </c>
      <c r="S47" s="89" t="e">
        <f t="shared" si="5"/>
        <v>#VALUE!</v>
      </c>
      <c r="T47" s="110" t="e">
        <f t="shared" si="5"/>
        <v>#VALUE!</v>
      </c>
      <c r="U47" s="90" t="e">
        <f t="shared" si="5"/>
        <v>#VALUE!</v>
      </c>
      <c r="V47" s="89" t="e">
        <f t="shared" si="5"/>
        <v>#VALUE!</v>
      </c>
      <c r="W47" s="110" t="e">
        <f t="shared" si="5"/>
        <v>#VALUE!</v>
      </c>
      <c r="X47" s="90" t="e">
        <f t="shared" si="5"/>
        <v>#VALUE!</v>
      </c>
    </row>
    <row r="48" spans="1:24" ht="13.5" customHeight="1">
      <c r="A48" s="266"/>
      <c r="B48" s="267"/>
      <c r="C48" s="267"/>
      <c r="D48" s="267"/>
      <c r="E48" s="261"/>
      <c r="F48" s="268"/>
      <c r="G48" s="269"/>
      <c r="H48" s="261"/>
      <c r="I48" s="270"/>
      <c r="J48" s="164"/>
      <c r="K48" s="261"/>
      <c r="L48" s="282" t="s">
        <v>53</v>
      </c>
      <c r="M48" s="279" t="e">
        <f>M45+50</f>
        <v>#VALUE!</v>
      </c>
      <c r="N48" s="280" t="e">
        <f>N45+50</f>
        <v>#VALUE!</v>
      </c>
      <c r="O48" s="281" t="e">
        <f>O45+50</f>
        <v>#VALUE!</v>
      </c>
      <c r="P48" s="279" t="e">
        <f t="shared" ref="P48:X48" si="6">P45+50</f>
        <v>#VALUE!</v>
      </c>
      <c r="Q48" s="280" t="e">
        <f t="shared" si="6"/>
        <v>#VALUE!</v>
      </c>
      <c r="R48" s="281" t="e">
        <f t="shared" si="6"/>
        <v>#VALUE!</v>
      </c>
      <c r="S48" s="279" t="e">
        <f t="shared" si="6"/>
        <v>#VALUE!</v>
      </c>
      <c r="T48" s="280" t="e">
        <f t="shared" si="6"/>
        <v>#VALUE!</v>
      </c>
      <c r="U48" s="281" t="e">
        <f t="shared" si="6"/>
        <v>#VALUE!</v>
      </c>
      <c r="V48" s="279" t="e">
        <f t="shared" si="6"/>
        <v>#VALUE!</v>
      </c>
      <c r="W48" s="280" t="e">
        <f t="shared" si="6"/>
        <v>#VALUE!</v>
      </c>
      <c r="X48" s="281" t="e">
        <f t="shared" si="6"/>
        <v>#VALUE!</v>
      </c>
    </row>
    <row r="49" spans="1:24" ht="13.5" customHeight="1">
      <c r="A49" s="3"/>
      <c r="B49" s="381" t="s">
        <v>1057</v>
      </c>
      <c r="C49" s="382"/>
      <c r="D49" s="383"/>
      <c r="L49" s="47" t="s">
        <v>35</v>
      </c>
      <c r="M49" s="92" t="e">
        <f>IF(N35&lt;&gt;M46,IF(N35&lt;&gt;M47,IF(N35&lt;&gt;M48,0,1),1),1)</f>
        <v>#VALUE!</v>
      </c>
      <c r="N49" s="93" t="e">
        <f>IF(N35+1&lt;&gt;N46,IF(N35+1&lt;&gt;N47,IF(N35+1&lt;&gt;N48,0,1),1),1)</f>
        <v>#VALUE!</v>
      </c>
      <c r="O49" s="94" t="e">
        <f>IF(N35+2&lt;&gt;O46,IF(N35+2&lt;&gt;O47,IF(N35+2&lt;&gt;O48,0,1),1),1)</f>
        <v>#VALUE!</v>
      </c>
      <c r="P49" s="92" t="e">
        <f>IF(Q35&lt;&gt;P46,IF(Q35&lt;&gt;P47,IF(Q35&lt;&gt;P48,0,1),1),1)</f>
        <v>#VALUE!</v>
      </c>
      <c r="Q49" s="93" t="e">
        <f>IF(Q35+1&lt;&gt;Q46,IF(Q35+1&lt;&gt;Q47,IF(Q35+1&lt;&gt;Q48,0,1),1),1)</f>
        <v>#VALUE!</v>
      </c>
      <c r="R49" s="94" t="e">
        <f>IF(Q35+2&lt;&gt;R46,IF(Q35+2&lt;&gt;R47,IF(Q35+2&lt;&gt;R48,0,1),1),1)</f>
        <v>#VALUE!</v>
      </c>
      <c r="S49" s="92" t="e">
        <f>IF(T35&lt;&gt;S46,IF(T35&lt;&gt;S47,IF(T35&lt;&gt;S48,0,1),1),1)</f>
        <v>#VALUE!</v>
      </c>
      <c r="T49" s="93" t="e">
        <f>IF(T35+1&lt;&gt;T46,IF(T35+1&lt;&gt;T47,IF(T35+1&lt;&gt;T48,0,1),1),1)</f>
        <v>#VALUE!</v>
      </c>
      <c r="U49" s="94" t="e">
        <f>IF(T35+2&lt;&gt;U46,IF(T35+2&lt;&gt;U47,IF(T35+2&lt;&gt;U48,0,1),1),1)</f>
        <v>#VALUE!</v>
      </c>
      <c r="V49" s="92" t="e">
        <f>IF(W35&lt;&gt;V46,IF(W35&lt;&gt;V47,IF(W35&lt;&gt;V48,0,1),1),1)</f>
        <v>#VALUE!</v>
      </c>
      <c r="W49" s="93" t="e">
        <f>IF(W35+1&lt;&gt;W46,IF(W35+1&lt;&gt;W47,IF(W35+1&lt;&gt;W48,0,1),1),1)</f>
        <v>#VALUE!</v>
      </c>
      <c r="X49" s="94" t="e">
        <f>IF(W35+2&lt;&gt;X46,IF(W35+2&lt;&gt;X47,IF(W35+2&lt;&gt;X48,0,1),1),1)</f>
        <v>#VALUE!</v>
      </c>
    </row>
    <row r="50" spans="1:24" ht="13.5" customHeight="1">
      <c r="B50" s="161" t="str">
        <f>IF(AND(Demande!$L$77=TRUE,A49&lt;&gt;""),"Début enquête","")</f>
        <v/>
      </c>
      <c r="C50" s="161" t="str">
        <f>IF(AND(Demande!$L$77=TRUE,A49&lt;&gt;""),"Fin enquête","")</f>
        <v/>
      </c>
      <c r="D50" s="161" t="str">
        <f>IF(AND(Demande!$L$77=TRUE,A49&lt;&gt;""),"PV enquête","")</f>
        <v/>
      </c>
      <c r="F50" s="384" t="str">
        <f>IF(AND(Demande!$L$77=TRUE,A49&lt;&gt;""),"Demande enquête publique","")</f>
        <v/>
      </c>
      <c r="G50" s="385"/>
      <c r="I50" s="198" t="s">
        <v>1011</v>
      </c>
      <c r="J50" s="198" t="s">
        <v>1012</v>
      </c>
      <c r="K50" s="6"/>
      <c r="L50" s="47" t="s">
        <v>57</v>
      </c>
      <c r="M50" s="95" t="e">
        <f t="shared" ref="M50:X50" si="7">IF(OR(M44=1,M49=1),1,0)</f>
        <v>#VALUE!</v>
      </c>
      <c r="N50" s="96" t="e">
        <f t="shared" si="7"/>
        <v>#VALUE!</v>
      </c>
      <c r="O50" s="97" t="e">
        <f t="shared" si="7"/>
        <v>#VALUE!</v>
      </c>
      <c r="P50" s="95" t="e">
        <f t="shared" si="7"/>
        <v>#VALUE!</v>
      </c>
      <c r="Q50" s="96" t="e">
        <f t="shared" si="7"/>
        <v>#VALUE!</v>
      </c>
      <c r="R50" s="97" t="e">
        <f t="shared" si="7"/>
        <v>#VALUE!</v>
      </c>
      <c r="S50" s="95" t="e">
        <f t="shared" si="7"/>
        <v>#VALUE!</v>
      </c>
      <c r="T50" s="96" t="e">
        <f t="shared" si="7"/>
        <v>#VALUE!</v>
      </c>
      <c r="U50" s="97" t="e">
        <f t="shared" si="7"/>
        <v>#VALUE!</v>
      </c>
      <c r="V50" s="95" t="e">
        <f t="shared" si="7"/>
        <v>#VALUE!</v>
      </c>
      <c r="W50" s="96" t="e">
        <f t="shared" si="7"/>
        <v>#VALUE!</v>
      </c>
      <c r="X50" s="97" t="e">
        <f t="shared" si="7"/>
        <v>#VALUE!</v>
      </c>
    </row>
    <row r="51" spans="1:24" ht="13.5">
      <c r="A51" s="4" t="s">
        <v>1058</v>
      </c>
      <c r="B51" s="41" t="str">
        <f>IF(AND(Demande!$L$77=TRUE,A49&lt;&gt;""),Demande!$M$18+Demande!$M$19,"")</f>
        <v/>
      </c>
      <c r="C51" s="41" t="str">
        <f>IF(AND(Demande!$L$77=TRUE,A49&lt;&gt;""),IF(OR(Demande!$L$83=3,Demande!$L$83=5,Demande!$L$83=6),IF(OR(Demande!$L$75=1,Demande!$L$76=TRUE),Demande!$M$16,Demande!$M$17)),"")</f>
        <v/>
      </c>
      <c r="D51" s="41" t="str">
        <f>IF(AND(Demande!$L$77=TRUE,A49&lt;&gt;""),Demande!$M$20,"")</f>
        <v/>
      </c>
      <c r="F51" s="149" t="str">
        <f>IF(AND(Demande!$L$77=TRUE,A49&lt;&gt;""),"Demande","")</f>
        <v/>
      </c>
      <c r="G51" s="140" t="str">
        <f>IF(AND(Demande!$L$77=TRUE,A49&lt;&gt;""),Demande!$G$20,"")</f>
        <v/>
      </c>
      <c r="I51" s="17" t="str">
        <f>IF(Demande!$B$20&lt;&gt;"",DATE(YEAR(J51),7,16),"")</f>
        <v/>
      </c>
      <c r="J51" s="25" t="str">
        <f ca="1">IF(Demande!$G$20&lt;&gt;"",IF(AND(G52&lt;&gt;"",B57=""),G52+Demande!$M$18+Demande!$M$19,IF(B57&lt;&gt;"",B57,B53)),"")</f>
        <v/>
      </c>
      <c r="K51" s="25" t="str">
        <f ca="1">IF(OR(AND(I53&lt;&gt;0,I53&lt;&gt;31),AND(I53=31,B53=I51)),I52+1,J51)</f>
        <v/>
      </c>
      <c r="L51" s="282"/>
    </row>
    <row r="52" spans="1:24" ht="13.5">
      <c r="A52" s="4" t="s">
        <v>37</v>
      </c>
      <c r="B52" s="43" t="str">
        <f>IF(A49&lt;&gt;"",IF(OR(Demande!$L$83=3,Demande!$L$83=6),IF(B57&lt;&gt;"",B57-IF(G52&lt;&gt;"",G52,Demande!$G$20),""),""),"")</f>
        <v/>
      </c>
      <c r="C52" s="43" t="str">
        <f>IF(OR(Demande!$L$83=3,Demande!$L$83=6),IF(AND(B57&lt;&gt;"",C57&lt;&gt;""),C57-B57+1-V52-MAX(I53,I57),""),"")</f>
        <v/>
      </c>
      <c r="D52" s="43" t="str">
        <f>IF(Demande!$L$77=TRUE,IF(Demande!$B$20&lt;&gt;"",IF(D56&lt;&gt;"",D56-C58,""),""),"")</f>
        <v/>
      </c>
      <c r="F52" s="149" t="str">
        <f>IF(AND(Demande!$L$77=TRUE,A49&lt;&gt;""),"Réception","")</f>
        <v/>
      </c>
      <c r="G52" s="56"/>
      <c r="I52" s="17" t="str">
        <f>IF(Demande!$B$20&lt;&gt;"",I51+30,"")</f>
        <v/>
      </c>
      <c r="J52" s="25" t="str">
        <f>IF(B53&lt;&gt;"",W55+V72,"")</f>
        <v/>
      </c>
      <c r="L52" s="19" t="s">
        <v>63</v>
      </c>
      <c r="M52" s="101" t="e">
        <f>IF(AND(O35&lt;&gt;"samedi",O35&lt;&gt;"dimanche"),IF(AND(M50=1,O35="vendredi"),3,IF(AND(M50=1,O35="samedi"),2,IF(M50=1,1,0))),IF(AND(O35="samedi",O50=1),3,IF(O35="samedi",2,IF(AND(O35="dimanche",N50=1),2,1))))</f>
        <v>#VALUE!</v>
      </c>
      <c r="N52" s="277"/>
      <c r="O52" s="277"/>
      <c r="P52" s="101" t="e">
        <f>IF(AND(R35&lt;&gt;"samedi",R35&lt;&gt;"dimanche"),IF(AND(P50=1,R35="vendredi"),3,IF(AND(P50=1,R35="samedi"),2,IF(P50=1,1,0))),IF(AND(R35="samedi",R50=1),3,IF(R35="samedi",2,IF(AND(R35="dimanche",Q50=1),2,1))))</f>
        <v>#VALUE!</v>
      </c>
      <c r="Q52" s="277"/>
      <c r="R52" s="277"/>
      <c r="S52" s="101" t="e">
        <f>IF(AND(U35&lt;&gt;"samedi",U35&lt;&gt;"dimanche"),IF(AND(S50=1,U35="vendredi"),3,IF(AND(S50=1,U35="samedi"),2,IF(S50=1,1,0))),IF(AND(U35="samedi",U50=1),3,IF(U35="samedi",2,IF(AND(U35="dimanche",T50=1),2,1))))</f>
        <v>#VALUE!</v>
      </c>
      <c r="T52" s="277"/>
      <c r="U52" s="277"/>
      <c r="V52" s="101" t="e">
        <f>IF(AND(X35&lt;&gt;"samedi",X35&lt;&gt;"dimanche"),IF(AND(V50=1,X35="vendredi"),3,IF(AND(V50=1,X35="samedi"),2,IF(V50=1,1,0))),IF(AND(X35="samedi",X50=1),3,IF(X35="samedi",2,IF(AND(X35="dimanche",W50=1),2,1))))</f>
        <v>#VALUE!</v>
      </c>
      <c r="W52" s="277"/>
      <c r="X52" s="277"/>
    </row>
    <row r="53" spans="1:24" ht="13.5">
      <c r="A53" s="208" t="s">
        <v>1050</v>
      </c>
      <c r="B53" s="46" t="str">
        <f>IF(A49&lt;&gt;"",IF(Demande!$G$20&lt;&gt;"",IF(OR(Demande!$L$83=3,Demande!$L$83=5,Demande!$L$83=6),IF(B58&lt;&gt;"",B58+Demande!$M$19,IF(G52&lt;&gt;"",G52+B51,Demande!$G$20+B51)),""),""),"")</f>
        <v/>
      </c>
      <c r="C53" s="46" t="str">
        <f>IF(A49&lt;&gt;"",IF(OR(Demande!$L$83=3,Demande!$L$83=6),IF(B53&lt;&gt;"",W15+V32,""),""),"")</f>
        <v/>
      </c>
      <c r="D53" s="46" t="str">
        <f>IF(A49&lt;&gt;"",IF(B53&lt;&gt;"",IF(OR(Demande!$L$83=3,Demande!$L$83=6),C53+D51,""),""),"")</f>
        <v/>
      </c>
      <c r="I53" s="64">
        <f>IF(Demande!$B$20&lt;&gt;"",IF(B53&lt;&gt;"",IF(AND(J51&lt;=I51,J52&gt;=I51),31,IF(AND(J51&gt;=I51,J52&lt;=I52),I52-J51+1,IF(AND(J51&gt;I51,J51&lt;=I52,J52&gt;=I52),I52-J51+1,0))),0),0)</f>
        <v>0</v>
      </c>
      <c r="J53" s="25" t="str">
        <f>IF(A49&lt;&gt;"",IF(Demande!$B$20&lt;&gt;"",IF(B57&lt;&gt;"",W35+V52,IF(B53&lt;&gt;"",W15+V32,""))),"")</f>
        <v/>
      </c>
      <c r="K53" s="322">
        <f>IF(Demande!$B$20&lt;&gt;"",IF(B53&lt;&gt;"",IF(AND(B53&lt;=I51,J52&gt;=I51),31,IF(AND(B53&gt;=I51,J52&lt;=I52),I52-B53+1,IF(AND(B53&gt;I51,B53&lt;=I52,J52&gt;=I52),I52-B53+1,0))),0),0)</f>
        <v>0</v>
      </c>
    </row>
    <row r="54" spans="1:24">
      <c r="A54" s="4" t="s">
        <v>44</v>
      </c>
      <c r="B54" s="50" t="str">
        <f>IF(A49&lt;&gt;"",IF(Demande!$B$20&lt;&gt;"",IF(OR(Demande!$L$83=3,Demande!$L$83=6),IF(B57="",B53,IF(I57&lt;&gt;0,K55,IF(I53&lt;&gt;0,K51,B57))),""),""),"")</f>
        <v/>
      </c>
      <c r="C54" s="50" t="str">
        <f>IF(A49&lt;&gt;"",IF(OR(Demande!$L$83=3,Demande!$L$83=6),IF(C57&lt;&gt;"",C57,IF(Demande!$G$20&lt;&gt;"",J53,"")),""),"")</f>
        <v/>
      </c>
      <c r="D54" s="50" t="str">
        <f>IF(A49&lt;&gt;"",IF(B54&lt;&gt;"",IF(Demande!$G$20&lt;&gt;"",IF(D56&lt;&gt;"",D56,C54+D51),""),""),"")</f>
        <v/>
      </c>
      <c r="F54" s="386" t="str">
        <f>IF(AND($I$3&gt;0,A49&lt;&gt;""),"Neutralisation de l'enquête","")</f>
        <v/>
      </c>
      <c r="G54" s="387"/>
      <c r="I54" s="1"/>
      <c r="J54" s="198" t="s">
        <v>1013</v>
      </c>
      <c r="M54" s="81" t="s">
        <v>1091</v>
      </c>
      <c r="N54" s="81"/>
      <c r="O54" s="81"/>
      <c r="P54" s="81" t="s">
        <v>1092</v>
      </c>
      <c r="Q54" s="81"/>
      <c r="R54" s="81"/>
      <c r="S54" s="81" t="s">
        <v>1093</v>
      </c>
      <c r="T54" s="81"/>
      <c r="U54" s="81"/>
      <c r="V54" s="81" t="s">
        <v>1094</v>
      </c>
      <c r="W54" s="81"/>
      <c r="X54" s="81"/>
    </row>
    <row r="55" spans="1:24">
      <c r="A55" s="4" t="s">
        <v>47</v>
      </c>
      <c r="B55" s="50" t="str">
        <f>TEXT(B54,"jjjj")</f>
        <v/>
      </c>
      <c r="C55" s="50" t="str">
        <f>TEXT(C54,"jjjj")</f>
        <v/>
      </c>
      <c r="D55" s="50" t="str">
        <f>TEXT(D54,"jjjj")</f>
        <v/>
      </c>
      <c r="F55" s="379" t="str">
        <f>IF(I3&lt;&gt;0,IF(AND(Demande!$L$77=TRUE,A49&lt;&gt;""),CONCATENATE(MAX(I53,I57),IF(MAX(I53,I57)&lt;=1," jour"," jours")),""),"")</f>
        <v/>
      </c>
      <c r="G55" s="380"/>
      <c r="I55" s="17" t="str">
        <f>IF(Demande!$B$20&lt;&gt;"",IF(B58&lt;&gt;"",DATE(YEAR(B58),12,24),IF(B53&lt;&gt;"",DATE(YEAR(B53-1),12,24),"")),"")</f>
        <v/>
      </c>
      <c r="J55" s="25" t="str">
        <f>IF(Demande!$B$20&lt;&gt;"",IF(Demande!$L$83=3,IF(AND(J51&gt;=I55,J51&lt;=I56),I56+1,IF(B57&lt;&gt;"",B57,B53)),""),"")</f>
        <v/>
      </c>
      <c r="K55" s="25" t="str">
        <f>IF(AND(I57&lt;&gt;0,I57&lt;&gt;9),I56+1,J55)</f>
        <v/>
      </c>
      <c r="M55" s="34" t="s">
        <v>81</v>
      </c>
      <c r="N55" s="25" t="e">
        <f ca="1">J15+C15-1</f>
        <v>#VALUE!</v>
      </c>
      <c r="O55" s="83" t="e">
        <f ca="1">TEXT(N55,"jjjj")</f>
        <v>#VALUE!</v>
      </c>
      <c r="P55" s="34" t="s">
        <v>81</v>
      </c>
      <c r="Q55" s="25" t="e">
        <f ca="1">J27+C27-1</f>
        <v>#VALUE!</v>
      </c>
      <c r="R55" s="83" t="e">
        <f ca="1">TEXT(Q55,"jjjj")</f>
        <v>#VALUE!</v>
      </c>
      <c r="S55" s="34" t="s">
        <v>81</v>
      </c>
      <c r="T55" s="25" t="e">
        <f ca="1">J39+C39-1</f>
        <v>#VALUE!</v>
      </c>
      <c r="U55" s="83" t="e">
        <f ca="1">TEXT(T55,"jjjj")</f>
        <v>#VALUE!</v>
      </c>
      <c r="V55" s="34" t="s">
        <v>81</v>
      </c>
      <c r="W55" s="25" t="e">
        <f ca="1">J51+C51-1</f>
        <v>#VALUE!</v>
      </c>
      <c r="X55" s="83" t="e">
        <f ca="1">TEXT(W55,"jjjj")</f>
        <v>#VALUE!</v>
      </c>
    </row>
    <row r="56" spans="1:24" ht="13.5" customHeight="1">
      <c r="A56" s="260"/>
      <c r="B56" s="320" t="s">
        <v>1065</v>
      </c>
      <c r="C56" s="320" t="s">
        <v>1066</v>
      </c>
      <c r="D56" s="56"/>
      <c r="I56" s="17" t="str">
        <f>IF(Demande!$B$20&lt;&gt;"",IF(B53&lt;&gt;"",I55+8,""),"")</f>
        <v/>
      </c>
      <c r="J56" s="199"/>
      <c r="M56" s="85" t="s">
        <v>24</v>
      </c>
      <c r="N56" s="85" t="s">
        <v>25</v>
      </c>
      <c r="O56" s="85" t="s">
        <v>26</v>
      </c>
      <c r="P56" s="85" t="s">
        <v>24</v>
      </c>
      <c r="Q56" s="85" t="s">
        <v>25</v>
      </c>
      <c r="R56" s="85" t="s">
        <v>26</v>
      </c>
      <c r="S56" s="85" t="s">
        <v>24</v>
      </c>
      <c r="T56" s="85" t="s">
        <v>25</v>
      </c>
      <c r="U56" s="85" t="s">
        <v>26</v>
      </c>
      <c r="V56" s="85" t="s">
        <v>24</v>
      </c>
      <c r="W56" s="85" t="s">
        <v>25</v>
      </c>
      <c r="X56" s="85" t="s">
        <v>26</v>
      </c>
    </row>
    <row r="57" spans="1:24">
      <c r="A57" s="319" t="s">
        <v>1051</v>
      </c>
      <c r="B57" s="56"/>
      <c r="C57" s="56"/>
      <c r="D57" s="66"/>
      <c r="I57" s="64">
        <f>IF(Demande!$B$20&lt;&gt;"",IF(B53&lt;&gt;"",IF(AND(J51&lt;=I55,J52&gt;=I55),9,IF(AND(J51&gt;=I55,J52&lt;=I56),I56-J51+1,IF(AND(J51&gt;I55,J51&lt;=I56,J52&gt;=I56),I56-J51+1,0))),0),0)</f>
        <v>0</v>
      </c>
      <c r="J57" s="25"/>
      <c r="K57" s="322">
        <f>IF(Demande!$B$20&lt;&gt;"",IF(B53&lt;&gt;"",IF(AND(B53&lt;=I55,J52&gt;=I55),9,IF(AND(B53&gt;=I55,J52&lt;=I56),I56-B53+1,IF(AND(B53&gt;I55,B53&lt;=I56,J52&gt;=I56),I56-B53+1,0))),0),0)</f>
        <v>0</v>
      </c>
      <c r="L57" s="283">
        <v>37257</v>
      </c>
      <c r="M57" s="89" t="e">
        <f ca="1">DATE(YEAR(N55),1,1)</f>
        <v>#VALUE!</v>
      </c>
      <c r="N57" s="82" t="e">
        <f ca="1">DATE(YEAR(N55+1),1,1)</f>
        <v>#VALUE!</v>
      </c>
      <c r="O57" s="90" t="e">
        <f ca="1">DATE(YEAR(N55+2),1,1)</f>
        <v>#VALUE!</v>
      </c>
      <c r="P57" s="89" t="e">
        <f ca="1">DATE(YEAR(Q55),1,1)</f>
        <v>#VALUE!</v>
      </c>
      <c r="Q57" s="82" t="e">
        <f ca="1">DATE(YEAR(Q55+1),1,1)</f>
        <v>#VALUE!</v>
      </c>
      <c r="R57" s="90" t="e">
        <f ca="1">DATE(YEAR(Q55+2),1,1)</f>
        <v>#VALUE!</v>
      </c>
      <c r="S57" s="89" t="e">
        <f ca="1">DATE(YEAR(T55),1,1)</f>
        <v>#VALUE!</v>
      </c>
      <c r="T57" s="82" t="e">
        <f ca="1">DATE(YEAR(T55+1),1,1)</f>
        <v>#VALUE!</v>
      </c>
      <c r="U57" s="90" t="e">
        <f ca="1">DATE(YEAR(T55+2),1,1)</f>
        <v>#VALUE!</v>
      </c>
      <c r="V57" s="89" t="e">
        <f ca="1">DATE(YEAR(W55),1,1)</f>
        <v>#VALUE!</v>
      </c>
      <c r="W57" s="82" t="e">
        <f ca="1">DATE(YEAR(W55+1),1,1)</f>
        <v>#VALUE!</v>
      </c>
      <c r="X57" s="90" t="e">
        <f ca="1">DATE(YEAR(W55+2),1,1)</f>
        <v>#VALUE!</v>
      </c>
    </row>
    <row r="58" spans="1:24">
      <c r="A58" s="319" t="s">
        <v>1067</v>
      </c>
      <c r="B58" s="56"/>
      <c r="C58" s="56"/>
      <c r="D58" s="1"/>
      <c r="L58" s="283">
        <v>37377</v>
      </c>
      <c r="M58" s="89" t="e">
        <f ca="1">DATE(YEAR(N55),5,1)</f>
        <v>#VALUE!</v>
      </c>
      <c r="N58" s="82" t="e">
        <f ca="1">DATE(YEAR(N55+1),5,1)</f>
        <v>#VALUE!</v>
      </c>
      <c r="O58" s="90" t="e">
        <f ca="1">DATE(YEAR(N55+2),5,1)</f>
        <v>#VALUE!</v>
      </c>
      <c r="P58" s="89" t="e">
        <f ca="1">DATE(YEAR(Q55),5,1)</f>
        <v>#VALUE!</v>
      </c>
      <c r="Q58" s="82" t="e">
        <f ca="1">DATE(YEAR(Q55+1),5,1)</f>
        <v>#VALUE!</v>
      </c>
      <c r="R58" s="90" t="e">
        <f ca="1">DATE(YEAR(Q55+2),5,1)</f>
        <v>#VALUE!</v>
      </c>
      <c r="S58" s="89" t="e">
        <f ca="1">DATE(YEAR(T55),5,1)</f>
        <v>#VALUE!</v>
      </c>
      <c r="T58" s="82" t="e">
        <f ca="1">DATE(YEAR(T55+1),5,1)</f>
        <v>#VALUE!</v>
      </c>
      <c r="U58" s="90" t="e">
        <f ca="1">DATE(YEAR(T55+2),5,1)</f>
        <v>#VALUE!</v>
      </c>
      <c r="V58" s="89" t="e">
        <f ca="1">DATE(YEAR(W55),5,1)</f>
        <v>#VALUE!</v>
      </c>
      <c r="W58" s="82" t="e">
        <f ca="1">DATE(YEAR(W55+1),5,1)</f>
        <v>#VALUE!</v>
      </c>
      <c r="X58" s="90" t="e">
        <f ca="1">DATE(YEAR(W55+2),5,1)</f>
        <v>#VALUE!</v>
      </c>
    </row>
    <row r="59" spans="1:24">
      <c r="A59" s="261"/>
      <c r="B59" s="261"/>
      <c r="C59" s="261"/>
      <c r="D59" s="261"/>
      <c r="E59" s="261"/>
      <c r="F59" s="261"/>
      <c r="G59" s="261"/>
      <c r="H59" s="261"/>
      <c r="I59" s="261"/>
      <c r="J59" s="261"/>
      <c r="K59" s="261"/>
      <c r="L59" s="283">
        <v>37458</v>
      </c>
      <c r="M59" s="89" t="e">
        <f ca="1">DATE(YEAR(N55),7,21)</f>
        <v>#VALUE!</v>
      </c>
      <c r="N59" s="82" t="e">
        <f ca="1">DATE(YEAR(N55+1),7,21)</f>
        <v>#VALUE!</v>
      </c>
      <c r="O59" s="90" t="e">
        <f ca="1">DATE(YEAR(N55+2),7,21)</f>
        <v>#VALUE!</v>
      </c>
      <c r="P59" s="89" t="e">
        <f ca="1">DATE(YEAR(Q55),7,21)</f>
        <v>#VALUE!</v>
      </c>
      <c r="Q59" s="82" t="e">
        <f ca="1">DATE(YEAR(Q55+1),7,21)</f>
        <v>#VALUE!</v>
      </c>
      <c r="R59" s="90" t="e">
        <f ca="1">DATE(YEAR(Q55+2),7,21)</f>
        <v>#VALUE!</v>
      </c>
      <c r="S59" s="89" t="e">
        <f ca="1">DATE(YEAR(T55),7,21)</f>
        <v>#VALUE!</v>
      </c>
      <c r="T59" s="82" t="e">
        <f ca="1">DATE(YEAR(T55+1),7,21)</f>
        <v>#VALUE!</v>
      </c>
      <c r="U59" s="90" t="e">
        <f ca="1">DATE(YEAR(T55+2),7,21)</f>
        <v>#VALUE!</v>
      </c>
      <c r="V59" s="89" t="e">
        <f ca="1">DATE(YEAR(W55),7,21)</f>
        <v>#VALUE!</v>
      </c>
      <c r="W59" s="82" t="e">
        <f ca="1">DATE(YEAR(W55+1),7,21)</f>
        <v>#VALUE!</v>
      </c>
      <c r="X59" s="90" t="e">
        <f ca="1">DATE(YEAR(W55+2),7,21)</f>
        <v>#VALUE!</v>
      </c>
    </row>
    <row r="60" spans="1:24">
      <c r="A60" s="261"/>
      <c r="B60" s="261"/>
      <c r="C60" s="261"/>
      <c r="D60" s="261"/>
      <c r="E60" s="261"/>
      <c r="F60" s="261"/>
      <c r="G60" s="261"/>
      <c r="H60" s="261"/>
      <c r="I60" s="261"/>
      <c r="J60" s="261"/>
      <c r="K60" s="261"/>
      <c r="L60" s="283">
        <v>37483</v>
      </c>
      <c r="M60" s="89" t="e">
        <f ca="1">DATE(YEAR(N55),8,15)</f>
        <v>#VALUE!</v>
      </c>
      <c r="N60" s="82" t="e">
        <f ca="1">DATE(YEAR(N55+1),8,15)</f>
        <v>#VALUE!</v>
      </c>
      <c r="O60" s="90" t="e">
        <f ca="1">DATE(YEAR(N55+2),8,15)</f>
        <v>#VALUE!</v>
      </c>
      <c r="P60" s="89" t="e">
        <f ca="1">DATE(YEAR(Q55),8,15)</f>
        <v>#VALUE!</v>
      </c>
      <c r="Q60" s="82" t="e">
        <f ca="1">DATE(YEAR(Q55+1),8,15)</f>
        <v>#VALUE!</v>
      </c>
      <c r="R60" s="90" t="e">
        <f ca="1">DATE(YEAR(Q55+2),8,15)</f>
        <v>#VALUE!</v>
      </c>
      <c r="S60" s="89" t="e">
        <f ca="1">DATE(YEAR(T55),8,15)</f>
        <v>#VALUE!</v>
      </c>
      <c r="T60" s="82" t="e">
        <f ca="1">DATE(YEAR(T55+1),8,15)</f>
        <v>#VALUE!</v>
      </c>
      <c r="U60" s="90" t="e">
        <f ca="1">DATE(YEAR(T55+2),8,15)</f>
        <v>#VALUE!</v>
      </c>
      <c r="V60" s="89" t="e">
        <f ca="1">DATE(YEAR(W55),8,15)</f>
        <v>#VALUE!</v>
      </c>
      <c r="W60" s="82" t="e">
        <f ca="1">DATE(YEAR(W55+1),8,15)</f>
        <v>#VALUE!</v>
      </c>
      <c r="X60" s="90" t="e">
        <f ca="1">DATE(YEAR(W55+2),8,15)</f>
        <v>#VALUE!</v>
      </c>
    </row>
    <row r="61" spans="1:24">
      <c r="A61" s="261"/>
      <c r="B61" s="261"/>
      <c r="C61" s="261"/>
      <c r="D61" s="261"/>
      <c r="E61" s="261"/>
      <c r="F61" s="261"/>
      <c r="G61" s="261"/>
      <c r="H61" s="261"/>
      <c r="I61" s="261"/>
      <c r="J61" s="261"/>
      <c r="K61" s="261"/>
      <c r="L61" s="283">
        <v>37561</v>
      </c>
      <c r="M61" s="89" t="e">
        <f ca="1">DATE(YEAR(N55),11,1)</f>
        <v>#VALUE!</v>
      </c>
      <c r="N61" s="82" t="e">
        <f ca="1">DATE(YEAR(N55+1),11,1)</f>
        <v>#VALUE!</v>
      </c>
      <c r="O61" s="90" t="e">
        <f ca="1">DATE(YEAR(N55+2),11,1)</f>
        <v>#VALUE!</v>
      </c>
      <c r="P61" s="89" t="e">
        <f ca="1">DATE(YEAR(Q55),11,1)</f>
        <v>#VALUE!</v>
      </c>
      <c r="Q61" s="82" t="e">
        <f ca="1">DATE(YEAR(Q55+1),11,1)</f>
        <v>#VALUE!</v>
      </c>
      <c r="R61" s="90" t="e">
        <f ca="1">DATE(YEAR(Q55+2),11,1)</f>
        <v>#VALUE!</v>
      </c>
      <c r="S61" s="89" t="e">
        <f ca="1">DATE(YEAR(T55),11,1)</f>
        <v>#VALUE!</v>
      </c>
      <c r="T61" s="82" t="e">
        <f ca="1">DATE(YEAR(T55+1),11,1)</f>
        <v>#VALUE!</v>
      </c>
      <c r="U61" s="90" t="e">
        <f ca="1">DATE(YEAR(T55+2),11,1)</f>
        <v>#VALUE!</v>
      </c>
      <c r="V61" s="89" t="e">
        <f ca="1">DATE(YEAR(W55),11,1)</f>
        <v>#VALUE!</v>
      </c>
      <c r="W61" s="82" t="e">
        <f ca="1">DATE(YEAR(W55+1),11,1)</f>
        <v>#VALUE!</v>
      </c>
      <c r="X61" s="90" t="e">
        <f ca="1">DATE(YEAR(W55+2),11,1)</f>
        <v>#VALUE!</v>
      </c>
    </row>
    <row r="62" spans="1:24">
      <c r="A62" s="261"/>
      <c r="B62" s="261"/>
      <c r="C62" s="261"/>
      <c r="D62" s="261"/>
      <c r="E62" s="261"/>
      <c r="F62" s="261"/>
      <c r="G62" s="261"/>
      <c r="H62" s="261"/>
      <c r="I62" s="261"/>
      <c r="J62" s="261"/>
      <c r="K62" s="261"/>
      <c r="L62" s="283">
        <v>37571</v>
      </c>
      <c r="M62" s="89" t="e">
        <f ca="1">DATE(YEAR(N55),11,11)</f>
        <v>#VALUE!</v>
      </c>
      <c r="N62" s="82" t="e">
        <f ca="1">DATE(YEAR(N55+1),11,11)</f>
        <v>#VALUE!</v>
      </c>
      <c r="O62" s="90" t="e">
        <f ca="1">DATE(YEAR(N55+2),11,11)</f>
        <v>#VALUE!</v>
      </c>
      <c r="P62" s="89" t="e">
        <f ca="1">DATE(YEAR(Q55),11,11)</f>
        <v>#VALUE!</v>
      </c>
      <c r="Q62" s="82" t="e">
        <f ca="1">DATE(YEAR(Q55+1),11,11)</f>
        <v>#VALUE!</v>
      </c>
      <c r="R62" s="90" t="e">
        <f ca="1">DATE(YEAR(Q55+2),11,11)</f>
        <v>#VALUE!</v>
      </c>
      <c r="S62" s="89" t="e">
        <f ca="1">DATE(YEAR(T55),11,11)</f>
        <v>#VALUE!</v>
      </c>
      <c r="T62" s="82" t="e">
        <f ca="1">DATE(YEAR(T55+1),11,11)</f>
        <v>#VALUE!</v>
      </c>
      <c r="U62" s="90" t="e">
        <f ca="1">DATE(YEAR(T55+2),11,11)</f>
        <v>#VALUE!</v>
      </c>
      <c r="V62" s="89" t="e">
        <f ca="1">DATE(YEAR(W55),11,11)</f>
        <v>#VALUE!</v>
      </c>
      <c r="W62" s="82" t="e">
        <f ca="1">DATE(YEAR(W55+1),11,11)</f>
        <v>#VALUE!</v>
      </c>
      <c r="X62" s="90" t="e">
        <f ca="1">DATE(YEAR(W55+2),11,11)</f>
        <v>#VALUE!</v>
      </c>
    </row>
    <row r="63" spans="1:24">
      <c r="A63" s="261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83">
        <v>37615</v>
      </c>
      <c r="M63" s="89" t="e">
        <f ca="1">DATE(YEAR(N55),12,25)</f>
        <v>#VALUE!</v>
      </c>
      <c r="N63" s="82" t="e">
        <f ca="1">DATE(YEAR(N55+1),12,25)</f>
        <v>#VALUE!</v>
      </c>
      <c r="O63" s="90" t="e">
        <f ca="1">DATE(YEAR(N55+2),12,25)</f>
        <v>#VALUE!</v>
      </c>
      <c r="P63" s="89" t="e">
        <f ca="1">DATE(YEAR(Q55),12,25)</f>
        <v>#VALUE!</v>
      </c>
      <c r="Q63" s="82" t="e">
        <f ca="1">DATE(YEAR(Q55+1),12,25)</f>
        <v>#VALUE!</v>
      </c>
      <c r="R63" s="90" t="e">
        <f ca="1">DATE(YEAR(Q55+2),12,25)</f>
        <v>#VALUE!</v>
      </c>
      <c r="S63" s="89" t="e">
        <f ca="1">DATE(YEAR(T55),12,25)</f>
        <v>#VALUE!</v>
      </c>
      <c r="T63" s="82" t="e">
        <f ca="1">DATE(YEAR(T55+1),12,25)</f>
        <v>#VALUE!</v>
      </c>
      <c r="U63" s="90" t="e">
        <f ca="1">DATE(YEAR(T55+2),12,25)</f>
        <v>#VALUE!</v>
      </c>
      <c r="V63" s="89" t="e">
        <f ca="1">DATE(YEAR(W55),12,25)</f>
        <v>#VALUE!</v>
      </c>
      <c r="W63" s="82" t="e">
        <f ca="1">DATE(YEAR(W55+1),12,25)</f>
        <v>#VALUE!</v>
      </c>
      <c r="X63" s="90" t="e">
        <f ca="1">DATE(YEAR(W55+2),12,25)</f>
        <v>#VALUE!</v>
      </c>
    </row>
    <row r="64" spans="1:24">
      <c r="A64" s="261"/>
      <c r="B64" s="261"/>
      <c r="C64" s="261"/>
      <c r="D64" s="261"/>
      <c r="E64" s="261"/>
      <c r="F64" s="261"/>
      <c r="G64" s="261"/>
      <c r="H64" s="261"/>
      <c r="I64" s="261"/>
      <c r="J64" s="261"/>
      <c r="K64" s="261"/>
      <c r="L64" s="47" t="s">
        <v>43</v>
      </c>
      <c r="M64" s="92" t="e">
        <f ca="1">IF(N55&lt;&gt;M57,IF(N55&lt;&gt;M58,IF(N55&lt;&gt;M59,IF(N55&lt;&gt;M60,IF(N55&lt;&gt;M61,IF(N55&lt;&gt;M62,IF(N55&lt;&gt;M63,0,1),1),1),1),1),1),1)</f>
        <v>#VALUE!</v>
      </c>
      <c r="N64" s="93" t="e">
        <f ca="1">IF(N55+1&lt;&gt;N57,IF(N55+1&lt;&gt;N58,IF(N55+1&lt;&gt;N59,IF(N55+1&lt;&gt;N60,IF(N55+1&lt;&gt;N61,IF(N55+1&lt;&gt;N62,IF(N55+1&lt;&gt;N63,0,1),1),1),1),1),1),1)</f>
        <v>#VALUE!</v>
      </c>
      <c r="O64" s="94" t="e">
        <f ca="1">IF(N55+2&lt;&gt;O57,IF(N55+2&lt;&gt;O58,IF(N55+2&lt;&gt;O59,IF(N55+2&lt;&gt;O60,IF(N55+2&lt;&gt;O61,IF(N55+2&lt;&gt;O62,IF(N55+2&lt;&gt;O63,0,1),1),1),1),1),1),1)</f>
        <v>#VALUE!</v>
      </c>
      <c r="P64" s="92" t="e">
        <f ca="1">IF(Q55&lt;&gt;P57,IF(Q55&lt;&gt;P58,IF(Q55&lt;&gt;P59,IF(Q55&lt;&gt;P60,IF(Q55&lt;&gt;P61,IF(Q55&lt;&gt;P62,IF(Q55&lt;&gt;P63,0,1),1),1),1),1),1),1)</f>
        <v>#VALUE!</v>
      </c>
      <c r="Q64" s="93" t="e">
        <f ca="1">IF(Q55+1&lt;&gt;Q57,IF(Q55+1&lt;&gt;Q58,IF(Q55+1&lt;&gt;Q59,IF(Q55+1&lt;&gt;Q60,IF(Q55+1&lt;&gt;Q61,IF(Q55+1&lt;&gt;Q62,IF(Q55+1&lt;&gt;Q63,0,1),1),1),1),1),1),1)</f>
        <v>#VALUE!</v>
      </c>
      <c r="R64" s="94" t="e">
        <f ca="1">IF(Q55+2&lt;&gt;R57,IF(Q55+2&lt;&gt;R58,IF(Q55+2&lt;&gt;R59,IF(Q55+2&lt;&gt;R60,IF(Q55+2&lt;&gt;R61,IF(Q55+2&lt;&gt;R62,IF(Q55+2&lt;&gt;R63,0,1),1),1),1),1),1),1)</f>
        <v>#VALUE!</v>
      </c>
      <c r="S64" s="92" t="e">
        <f ca="1">IF(T55&lt;&gt;S57,IF(T55&lt;&gt;S58,IF(T55&lt;&gt;S59,IF(T55&lt;&gt;S60,IF(T55&lt;&gt;S61,IF(T55&lt;&gt;S62,IF(T55&lt;&gt;S63,0,1),1),1),1),1),1),1)</f>
        <v>#VALUE!</v>
      </c>
      <c r="T64" s="93" t="e">
        <f ca="1">IF(T55+1&lt;&gt;T57,IF(T55+1&lt;&gt;T58,IF(T55+1&lt;&gt;T59,IF(T55+1&lt;&gt;T60,IF(T55+1&lt;&gt;T61,IF(T55+1&lt;&gt;T62,IF(T55+1&lt;&gt;T63,0,1),1),1),1),1),1),1)</f>
        <v>#VALUE!</v>
      </c>
      <c r="U64" s="94" t="e">
        <f ca="1">IF(T55+2&lt;&gt;U57,IF(T55+2&lt;&gt;U58,IF(T55+2&lt;&gt;U59,IF(T55+2&lt;&gt;U60,IF(T55+2&lt;&gt;U61,IF(T55+2&lt;&gt;U62,IF(T55+2&lt;&gt;U63,0,1),1),1),1),1),1),1)</f>
        <v>#VALUE!</v>
      </c>
      <c r="V64" s="92" t="e">
        <f ca="1">IF(W55&lt;&gt;V57,IF(W55&lt;&gt;V58,IF(W55&lt;&gt;V59,IF(W55&lt;&gt;V60,IF(W55&lt;&gt;V61,IF(W55&lt;&gt;V62,IF(W55&lt;&gt;V63,0,1),1),1),1),1),1),1)</f>
        <v>#VALUE!</v>
      </c>
      <c r="W64" s="93" t="e">
        <f ca="1">IF(W55+1&lt;&gt;W57,IF(W55+1&lt;&gt;W58,IF(W55+1&lt;&gt;W59,IF(W55+1&lt;&gt;W60,IF(W55+1&lt;&gt;W61,IF(W55+1&lt;&gt;W62,IF(W55+1&lt;&gt;W63,0,1),1),1),1),1),1),1)</f>
        <v>#VALUE!</v>
      </c>
      <c r="X64" s="94" t="e">
        <f ca="1">IF(W55+2&lt;&gt;X57,IF(W55+2&lt;&gt;X58,IF(W55+2&lt;&gt;X59,IF(W55+2&lt;&gt;X60,IF(W55+2&lt;&gt;X61,IF(W55+2&lt;&gt;X62,IF(W55+2&lt;&gt;X63,0,1),1),1),1),1),1),1)</f>
        <v>#VALUE!</v>
      </c>
    </row>
    <row r="65" spans="1:24">
      <c r="A65" s="261"/>
      <c r="B65" s="261"/>
      <c r="C65" s="261"/>
      <c r="D65" s="261"/>
      <c r="E65" s="261"/>
      <c r="F65" s="261"/>
      <c r="G65" s="261"/>
      <c r="H65" s="261"/>
      <c r="I65" s="261"/>
      <c r="J65" s="261"/>
      <c r="K65" s="261"/>
      <c r="L65" s="282" t="s">
        <v>1056</v>
      </c>
      <c r="M65" s="256" t="e">
        <f ca="1">DATE(YEAR(N55),IF((25-MOD(11*MOD(YEAR(N55),19)+4-INT((7*MOD(YEAR(N55),19)+1)/19),29)-MOD(YEAR(N55)-1900+INT((YEAR(N55)-1900)/4)+31-MOD(11*MOD(YEAR(N55),19)+4-INT((7*MOD(YEAR(N55),19)+1)/19),29),7))&lt;=0,3,4),IF(25-MOD(11*MOD(YEAR(N55),19)+4-INT((7*MOD(YEAR(N55),19)+1)/19),29)-MOD(YEAR(N55)-1900+INT((YEAR(N55)-1900)/4)+31-MOD(11*MOD(YEAR(N55),19)+4-INT((7*MOD(YEAR(N55),19)+1)/19),29),7)&lt;=0,25-MOD(11*MOD(YEAR(N55),19)+4-INT((7*MOD(YEAR(N55),19)+1)/19),29)-MOD(YEAR(N55)-1900+INT((YEAR(N55)-1900)/4)+31-MOD(11*MOD(YEAR(N55),19)+4-INT((7*MOD(YEAR(N55),19)+1)/19),29),7)+31,25-MOD(11*MOD(YEAR(N55),19)+4-INT((7*MOD(YEAR(N55),19)+1)/19),29)-MOD(YEAR(N55)-1900+INT((YEAR(N55)-1900)/4)+31-MOD(11*MOD(YEAR(N55),19)+4-INT((7*MOD(YEAR(N55),19)+1)/19),29),7)))</f>
        <v>#VALUE!</v>
      </c>
      <c r="N65" s="256" t="e">
        <f ca="1">DATE(YEAR((N55+1)),IF((25-MOD(11*MOD(YEAR((N55+1)),19)+4-INT((7*MOD(YEAR((N55+1)),19)+1)/19),29)-MOD(YEAR((N55+1))-1900+INT((YEAR((N55+1))-1900)/4)+31-MOD(11*MOD(YEAR((N55+1)),19)+4-INT((7*MOD(YEAR((N55+1)),19)+1)/19),29),7))&lt;=0,3,4),IF(25-MOD(11*MOD(YEAR((N55+1)),19)+4-INT((7*MOD(YEAR((N55+1)),19)+1)/19),29)-MOD(YEAR((N55+1))-1900+INT((YEAR((N55+1))-1900)/4)+31-MOD(11*MOD(YEAR((N55+1)),19)+4-INT((7*MOD(YEAR((N55+1)),19)+1)/19),29),7)&lt;=0,25-MOD(11*MOD(YEAR((N55+1)),19)+4-INT((7*MOD(YEAR((N55+1)),19)+1)/19),29)-MOD(YEAR((N55+1))-1900+INT((YEAR((N55+1))-1900)/4)+31-MOD(11*MOD(YEAR((N55+1)),19)+4-INT((7*MOD(YEAR((N55+1)),19)+1)/19),29),7)+31,25-MOD(11*MOD(YEAR((N55+1)),19)+4-INT((7*MOD(YEAR((N55+1)),19)+1)/19),29)-MOD(YEAR((N55+1))-1900+INT((YEAR((N55+1))-1900)/4)+31-MOD(11*MOD(YEAR((N55+1)),19)+4-INT((7*MOD(YEAR((N55+1)),19)+1)/19),29),7)))</f>
        <v>#VALUE!</v>
      </c>
      <c r="O65" s="256" t="e">
        <f ca="1">DATE(YEAR((N55+2)),IF((25-MOD(11*MOD(YEAR((N55+2)),19)+4-INT((7*MOD(YEAR((N55+2)),19)+1)/19),29)-MOD(YEAR((N55+2))-1900+INT((YEAR((N55+2))-1900)/4)+31-MOD(11*MOD(YEAR((N55+2)),19)+4-INT((7*MOD(YEAR((N55+2)),19)+1)/19),29),7))&lt;=0,3,4),IF(25-MOD(11*MOD(YEAR((N55+2)),19)+4-INT((7*MOD(YEAR((N55+2)),19)+1)/19),29)-MOD(YEAR((N55+2))-1900+INT((YEAR((N55+2))-1900)/4)+31-MOD(11*MOD(YEAR((N55+2)),19)+4-INT((7*MOD(YEAR((N55+2)),19)+1)/19),29),7)&lt;=0,25-MOD(11*MOD(YEAR((N55+2)),19)+4-INT((7*MOD(YEAR((N55+2)),19)+1)/19),29)-MOD(YEAR((N55+2))-1900+INT((YEAR((N55+2))-1900)/4)+31-MOD(11*MOD(YEAR((N55+2)),19)+4-INT((7*MOD(YEAR((N55+2)),19)+1)/19),29),7)+31,25-MOD(11*MOD(YEAR((N55+2)),19)+4-INT((7*MOD(YEAR((N55+2)),19)+1)/19),29)-MOD(YEAR((N55+2))-1900+INT((YEAR((N55+2))-1900)/4)+31-MOD(11*MOD(YEAR((N55+2)),19)+4-INT((7*MOD(YEAR((N55+2)),19)+1)/19),29),7)))</f>
        <v>#VALUE!</v>
      </c>
      <c r="P65" s="256" t="e">
        <f ca="1">DATE(YEAR(Q55),IF((25-MOD(11*MOD(YEAR(Q55),19)+4-INT((7*MOD(YEAR(Q55),19)+1)/19),29)-MOD(YEAR(Q55)-1900+INT((YEAR(Q55)-1900)/4)+31-MOD(11*MOD(YEAR(Q55),19)+4-INT((7*MOD(YEAR(Q55),19)+1)/19),29),7))&lt;=0,3,4),IF(25-MOD(11*MOD(YEAR(Q55),19)+4-INT((7*MOD(YEAR(Q55),19)+1)/19),29)-MOD(YEAR(Q55)-1900+INT((YEAR(Q55)-1900)/4)+31-MOD(11*MOD(YEAR(Q55),19)+4-INT((7*MOD(YEAR(Q55),19)+1)/19),29),7)&lt;=0,25-MOD(11*MOD(YEAR(Q55),19)+4-INT((7*MOD(YEAR(Q55),19)+1)/19),29)-MOD(YEAR(Q55)-1900+INT((YEAR(Q55)-1900)/4)+31-MOD(11*MOD(YEAR(Q55),19)+4-INT((7*MOD(YEAR(Q55),19)+1)/19),29),7)+31,25-MOD(11*MOD(YEAR(Q55),19)+4-INT((7*MOD(YEAR(Q55),19)+1)/19),29)-MOD(YEAR(Q55)-1900+INT((YEAR(Q55)-1900)/4)+31-MOD(11*MOD(YEAR(Q55),19)+4-INT((7*MOD(YEAR(Q55),19)+1)/19),29),7)))</f>
        <v>#VALUE!</v>
      </c>
      <c r="Q65" s="256" t="e">
        <f ca="1">DATE(YEAR((Q55+1)),IF((25-MOD(11*MOD(YEAR((Q55+1)),19)+4-INT((7*MOD(YEAR((Q55+1)),19)+1)/19),29)-MOD(YEAR((Q55+1))-1900+INT((YEAR((Q55+1))-1900)/4)+31-MOD(11*MOD(YEAR((Q55+1)),19)+4-INT((7*MOD(YEAR((Q55+1)),19)+1)/19),29),7))&lt;=0,3,4),IF(25-MOD(11*MOD(YEAR((Q55+1)),19)+4-INT((7*MOD(YEAR((Q55+1)),19)+1)/19),29)-MOD(YEAR((Q55+1))-1900+INT((YEAR((Q55+1))-1900)/4)+31-MOD(11*MOD(YEAR((Q55+1)),19)+4-INT((7*MOD(YEAR((Q55+1)),19)+1)/19),29),7)&lt;=0,25-MOD(11*MOD(YEAR((Q55+1)),19)+4-INT((7*MOD(YEAR((Q55+1)),19)+1)/19),29)-MOD(YEAR((Q55+1))-1900+INT((YEAR((Q55+1))-1900)/4)+31-MOD(11*MOD(YEAR((Q55+1)),19)+4-INT((7*MOD(YEAR((Q55+1)),19)+1)/19),29),7)+31,25-MOD(11*MOD(YEAR((Q55+1)),19)+4-INT((7*MOD(YEAR((Q55+1)),19)+1)/19),29)-MOD(YEAR((Q55+1))-1900+INT((YEAR((Q55+1))-1900)/4)+31-MOD(11*MOD(YEAR((Q55+1)),19)+4-INT((7*MOD(YEAR((Q55+1)),19)+1)/19),29),7)))</f>
        <v>#VALUE!</v>
      </c>
      <c r="R65" s="256" t="e">
        <f ca="1">DATE(YEAR((Q55+2)),IF((25-MOD(11*MOD(YEAR((Q55+2)),19)+4-INT((7*MOD(YEAR((Q55+2)),19)+1)/19),29)-MOD(YEAR((Q55+2))-1900+INT((YEAR((Q55+2))-1900)/4)+31-MOD(11*MOD(YEAR((Q55+2)),19)+4-INT((7*MOD(YEAR((Q55+2)),19)+1)/19),29),7))&lt;=0,3,4),IF(25-MOD(11*MOD(YEAR((Q55+2)),19)+4-INT((7*MOD(YEAR((Q55+2)),19)+1)/19),29)-MOD(YEAR((Q55+2))-1900+INT((YEAR((Q55+2))-1900)/4)+31-MOD(11*MOD(YEAR((Q55+2)),19)+4-INT((7*MOD(YEAR((Q55+2)),19)+1)/19),29),7)&lt;=0,25-MOD(11*MOD(YEAR((Q55+2)),19)+4-INT((7*MOD(YEAR((Q55+2)),19)+1)/19),29)-MOD(YEAR((Q55+2))-1900+INT((YEAR((Q55+2))-1900)/4)+31-MOD(11*MOD(YEAR((Q55+2)),19)+4-INT((7*MOD(YEAR((Q55+2)),19)+1)/19),29),7)+31,25-MOD(11*MOD(YEAR((Q55+2)),19)+4-INT((7*MOD(YEAR((Q55+2)),19)+1)/19),29)-MOD(YEAR((Q55+2))-1900+INT((YEAR((Q55+2))-1900)/4)+31-MOD(11*MOD(YEAR((Q55+2)),19)+4-INT((7*MOD(YEAR((Q55+2)),19)+1)/19),29),7)))</f>
        <v>#VALUE!</v>
      </c>
      <c r="S65" s="256" t="e">
        <f ca="1">DATE(YEAR(T55),IF((25-MOD(11*MOD(YEAR(T55),19)+4-INT((7*MOD(YEAR(T55),19)+1)/19),29)-MOD(YEAR(T55)-1900+INT((YEAR(T55)-1900)/4)+31-MOD(11*MOD(YEAR(T55),19)+4-INT((7*MOD(YEAR(T55),19)+1)/19),29),7))&lt;=0,3,4),IF(25-MOD(11*MOD(YEAR(T55),19)+4-INT((7*MOD(YEAR(T55),19)+1)/19),29)-MOD(YEAR(T55)-1900+INT((YEAR(T55)-1900)/4)+31-MOD(11*MOD(YEAR(T55),19)+4-INT((7*MOD(YEAR(T55),19)+1)/19),29),7)&lt;=0,25-MOD(11*MOD(YEAR(T55),19)+4-INT((7*MOD(YEAR(T55),19)+1)/19),29)-MOD(YEAR(T55)-1900+INT((YEAR(T55)-1900)/4)+31-MOD(11*MOD(YEAR(T55),19)+4-INT((7*MOD(YEAR(T55),19)+1)/19),29),7)+31,25-MOD(11*MOD(YEAR(T55),19)+4-INT((7*MOD(YEAR(T55),19)+1)/19),29)-MOD(YEAR(T55)-1900+INT((YEAR(T55)-1900)/4)+31-MOD(11*MOD(YEAR(T55),19)+4-INT((7*MOD(YEAR(T55),19)+1)/19),29),7)))</f>
        <v>#VALUE!</v>
      </c>
      <c r="T65" s="256" t="e">
        <f ca="1">DATE(YEAR((T55+1)),IF((25-MOD(11*MOD(YEAR((T55+1)),19)+4-INT((7*MOD(YEAR((T55+1)),19)+1)/19),29)-MOD(YEAR((T55+1))-1900+INT((YEAR((T55+1))-1900)/4)+31-MOD(11*MOD(YEAR((T55+1)),19)+4-INT((7*MOD(YEAR((T55+1)),19)+1)/19),29),7))&lt;=0,3,4),IF(25-MOD(11*MOD(YEAR((T55+1)),19)+4-INT((7*MOD(YEAR((T55+1)),19)+1)/19),29)-MOD(YEAR((T55+1))-1900+INT((YEAR((T55+1))-1900)/4)+31-MOD(11*MOD(YEAR((T55+1)),19)+4-INT((7*MOD(YEAR((T55+1)),19)+1)/19),29),7)&lt;=0,25-MOD(11*MOD(YEAR((T55+1)),19)+4-INT((7*MOD(YEAR((T55+1)),19)+1)/19),29)-MOD(YEAR((T55+1))-1900+INT((YEAR((T55+1))-1900)/4)+31-MOD(11*MOD(YEAR((T55+1)),19)+4-INT((7*MOD(YEAR((T55+1)),19)+1)/19),29),7)+31,25-MOD(11*MOD(YEAR((T55+1)),19)+4-INT((7*MOD(YEAR((T55+1)),19)+1)/19),29)-MOD(YEAR((T55+1))-1900+INT((YEAR((T55+1))-1900)/4)+31-MOD(11*MOD(YEAR((T55+1)),19)+4-INT((7*MOD(YEAR((T55+1)),19)+1)/19),29),7)))</f>
        <v>#VALUE!</v>
      </c>
      <c r="U65" s="256" t="e">
        <f ca="1">DATE(YEAR((T55+2)),IF((25-MOD(11*MOD(YEAR((T55+2)),19)+4-INT((7*MOD(YEAR((T55+2)),19)+1)/19),29)-MOD(YEAR((T55+2))-1900+INT((YEAR((T55+2))-1900)/4)+31-MOD(11*MOD(YEAR((T55+2)),19)+4-INT((7*MOD(YEAR((T55+2)),19)+1)/19),29),7))&lt;=0,3,4),IF(25-MOD(11*MOD(YEAR((T55+2)),19)+4-INT((7*MOD(YEAR((T55+2)),19)+1)/19),29)-MOD(YEAR((T55+2))-1900+INT((YEAR((T55+2))-1900)/4)+31-MOD(11*MOD(YEAR((T55+2)),19)+4-INT((7*MOD(YEAR((T55+2)),19)+1)/19),29),7)&lt;=0,25-MOD(11*MOD(YEAR((T55+2)),19)+4-INT((7*MOD(YEAR((T55+2)),19)+1)/19),29)-MOD(YEAR((T55+2))-1900+INT((YEAR((T55+2))-1900)/4)+31-MOD(11*MOD(YEAR((T55+2)),19)+4-INT((7*MOD(YEAR((T55+2)),19)+1)/19),29),7)+31,25-MOD(11*MOD(YEAR((T55+2)),19)+4-INT((7*MOD(YEAR((T55+2)),19)+1)/19),29)-MOD(YEAR((T55+2))-1900+INT((YEAR((T55+2))-1900)/4)+31-MOD(11*MOD(YEAR((T55+2)),19)+4-INT((7*MOD(YEAR((T55+2)),19)+1)/19),29),7)))</f>
        <v>#VALUE!</v>
      </c>
      <c r="V65" s="256" t="e">
        <f ca="1">DATE(YEAR(W55),IF((25-MOD(11*MOD(YEAR(W55),19)+4-INT((7*MOD(YEAR(W55),19)+1)/19),29)-MOD(YEAR(W55)-1900+INT((YEAR(W55)-1900)/4)+31-MOD(11*MOD(YEAR(W55),19)+4-INT((7*MOD(YEAR(W55),19)+1)/19),29),7))&lt;=0,3,4),IF(25-MOD(11*MOD(YEAR(W55),19)+4-INT((7*MOD(YEAR(W55),19)+1)/19),29)-MOD(YEAR(W55)-1900+INT((YEAR(W55)-1900)/4)+31-MOD(11*MOD(YEAR(W55),19)+4-INT((7*MOD(YEAR(W55),19)+1)/19),29),7)&lt;=0,25-MOD(11*MOD(YEAR(W55),19)+4-INT((7*MOD(YEAR(W55),19)+1)/19),29)-MOD(YEAR(W55)-1900+INT((YEAR(W55)-1900)/4)+31-MOD(11*MOD(YEAR(W55),19)+4-INT((7*MOD(YEAR(W55),19)+1)/19),29),7)+31,25-MOD(11*MOD(YEAR(W55),19)+4-INT((7*MOD(YEAR(W55),19)+1)/19),29)-MOD(YEAR(W55)-1900+INT((YEAR(W55)-1900)/4)+31-MOD(11*MOD(YEAR(W55),19)+4-INT((7*MOD(YEAR(W55),19)+1)/19),29),7)))</f>
        <v>#VALUE!</v>
      </c>
      <c r="W65" s="256" t="e">
        <f ca="1">DATE(YEAR((W55+1)),IF((25-MOD(11*MOD(YEAR((W55+1)),19)+4-INT((7*MOD(YEAR((W55+1)),19)+1)/19),29)-MOD(YEAR((W55+1))-1900+INT((YEAR((W55+1))-1900)/4)+31-MOD(11*MOD(YEAR((W55+1)),19)+4-INT((7*MOD(YEAR((W55+1)),19)+1)/19),29),7))&lt;=0,3,4),IF(25-MOD(11*MOD(YEAR((W55+1)),19)+4-INT((7*MOD(YEAR((W55+1)),19)+1)/19),29)-MOD(YEAR((W55+1))-1900+INT((YEAR((W55+1))-1900)/4)+31-MOD(11*MOD(YEAR((W55+1)),19)+4-INT((7*MOD(YEAR((W55+1)),19)+1)/19),29),7)&lt;=0,25-MOD(11*MOD(YEAR((W55+1)),19)+4-INT((7*MOD(YEAR((W55+1)),19)+1)/19),29)-MOD(YEAR((W55+1))-1900+INT((YEAR((W55+1))-1900)/4)+31-MOD(11*MOD(YEAR((W55+1)),19)+4-INT((7*MOD(YEAR((W55+1)),19)+1)/19),29),7)+31,25-MOD(11*MOD(YEAR((W55+1)),19)+4-INT((7*MOD(YEAR((W55+1)),19)+1)/19),29)-MOD(YEAR((W55+1))-1900+INT((YEAR((W55+1))-1900)/4)+31-MOD(11*MOD(YEAR((W55+1)),19)+4-INT((7*MOD(YEAR((W55+1)),19)+1)/19),29),7)))</f>
        <v>#VALUE!</v>
      </c>
      <c r="X65" s="256" t="e">
        <f ca="1">DATE(YEAR((W55+2)),IF((25-MOD(11*MOD(YEAR((W55+2)),19)+4-INT((7*MOD(YEAR((W55+2)),19)+1)/19),29)-MOD(YEAR((W55+2))-1900+INT((YEAR((W55+2))-1900)/4)+31-MOD(11*MOD(YEAR((W55+2)),19)+4-INT((7*MOD(YEAR((W55+2)),19)+1)/19),29),7))&lt;=0,3,4),IF(25-MOD(11*MOD(YEAR((W55+2)),19)+4-INT((7*MOD(YEAR((W55+2)),19)+1)/19),29)-MOD(YEAR((W55+2))-1900+INT((YEAR((W55+2))-1900)/4)+31-MOD(11*MOD(YEAR((W55+2)),19)+4-INT((7*MOD(YEAR((W55+2)),19)+1)/19),29),7)&lt;=0,25-MOD(11*MOD(YEAR((W55+2)),19)+4-INT((7*MOD(YEAR((W55+2)),19)+1)/19),29)-MOD(YEAR((W55+2))-1900+INT((YEAR((W55+2))-1900)/4)+31-MOD(11*MOD(YEAR((W55+2)),19)+4-INT((7*MOD(YEAR((W55+2)),19)+1)/19),29),7)+31,25-MOD(11*MOD(YEAR((W55+2)),19)+4-INT((7*MOD(YEAR((W55+2)),19)+1)/19),29)-MOD(YEAR((W55+2))-1900+INT((YEAR((W55+2))-1900)/4)+31-MOD(11*MOD(YEAR((W55+2)),19)+4-INT((7*MOD(YEAR((W55+2)),19)+1)/19),29),7)))</f>
        <v>#VALUE!</v>
      </c>
    </row>
    <row r="66" spans="1:24">
      <c r="A66" s="261"/>
      <c r="B66" s="261"/>
      <c r="C66" s="261"/>
      <c r="D66" s="261"/>
      <c r="E66" s="261"/>
      <c r="F66" s="261"/>
      <c r="G66" s="261"/>
      <c r="H66" s="261"/>
      <c r="I66" s="261"/>
      <c r="J66" s="261"/>
      <c r="K66" s="261"/>
      <c r="L66" s="282" t="s">
        <v>46</v>
      </c>
      <c r="M66" s="89" t="e">
        <f ca="1">M65+1</f>
        <v>#VALUE!</v>
      </c>
      <c r="N66" s="110" t="e">
        <f ca="1">N65+1</f>
        <v>#VALUE!</v>
      </c>
      <c r="O66" s="90" t="e">
        <f ca="1">O65+1</f>
        <v>#VALUE!</v>
      </c>
      <c r="P66" s="89" t="e">
        <f t="shared" ref="P66:X66" ca="1" si="8">P65+1</f>
        <v>#VALUE!</v>
      </c>
      <c r="Q66" s="110" t="e">
        <f t="shared" ca="1" si="8"/>
        <v>#VALUE!</v>
      </c>
      <c r="R66" s="90" t="e">
        <f t="shared" ca="1" si="8"/>
        <v>#VALUE!</v>
      </c>
      <c r="S66" s="89" t="e">
        <f t="shared" ca="1" si="8"/>
        <v>#VALUE!</v>
      </c>
      <c r="T66" s="110" t="e">
        <f t="shared" ca="1" si="8"/>
        <v>#VALUE!</v>
      </c>
      <c r="U66" s="90" t="e">
        <f t="shared" ca="1" si="8"/>
        <v>#VALUE!</v>
      </c>
      <c r="V66" s="89" t="e">
        <f t="shared" ca="1" si="8"/>
        <v>#VALUE!</v>
      </c>
      <c r="W66" s="110" t="e">
        <f t="shared" ca="1" si="8"/>
        <v>#VALUE!</v>
      </c>
      <c r="X66" s="90" t="e">
        <f t="shared" ca="1" si="8"/>
        <v>#VALUE!</v>
      </c>
    </row>
    <row r="67" spans="1:24">
      <c r="A67" s="261"/>
      <c r="B67" s="261"/>
      <c r="C67" s="261"/>
      <c r="D67" s="261"/>
      <c r="E67" s="261"/>
      <c r="F67" s="261"/>
      <c r="G67" s="261"/>
      <c r="H67" s="261"/>
      <c r="I67" s="261"/>
      <c r="J67" s="261"/>
      <c r="K67" s="261"/>
      <c r="L67" s="282" t="s">
        <v>49</v>
      </c>
      <c r="M67" s="89" t="e">
        <f t="shared" ref="M67:X67" ca="1" si="9">M65+39</f>
        <v>#VALUE!</v>
      </c>
      <c r="N67" s="110" t="e">
        <f t="shared" ca="1" si="9"/>
        <v>#VALUE!</v>
      </c>
      <c r="O67" s="90" t="e">
        <f t="shared" ca="1" si="9"/>
        <v>#VALUE!</v>
      </c>
      <c r="P67" s="89" t="e">
        <f t="shared" ca="1" si="9"/>
        <v>#VALUE!</v>
      </c>
      <c r="Q67" s="110" t="e">
        <f t="shared" ca="1" si="9"/>
        <v>#VALUE!</v>
      </c>
      <c r="R67" s="90" t="e">
        <f t="shared" ca="1" si="9"/>
        <v>#VALUE!</v>
      </c>
      <c r="S67" s="89" t="e">
        <f t="shared" ca="1" si="9"/>
        <v>#VALUE!</v>
      </c>
      <c r="T67" s="110" t="e">
        <f t="shared" ca="1" si="9"/>
        <v>#VALUE!</v>
      </c>
      <c r="U67" s="90" t="e">
        <f t="shared" ca="1" si="9"/>
        <v>#VALUE!</v>
      </c>
      <c r="V67" s="89" t="e">
        <f t="shared" ca="1" si="9"/>
        <v>#VALUE!</v>
      </c>
      <c r="W67" s="110" t="e">
        <f t="shared" ca="1" si="9"/>
        <v>#VALUE!</v>
      </c>
      <c r="X67" s="90" t="e">
        <f t="shared" ca="1" si="9"/>
        <v>#VALUE!</v>
      </c>
    </row>
    <row r="68" spans="1:24">
      <c r="A68" s="261"/>
      <c r="B68" s="261"/>
      <c r="C68" s="261"/>
      <c r="D68" s="261"/>
      <c r="E68" s="261"/>
      <c r="F68" s="261"/>
      <c r="G68" s="261"/>
      <c r="H68" s="261"/>
      <c r="I68" s="261"/>
      <c r="J68" s="261"/>
      <c r="K68" s="261"/>
      <c r="L68" s="282" t="s">
        <v>53</v>
      </c>
      <c r="M68" s="279" t="e">
        <f t="shared" ref="M68:X68" ca="1" si="10">M65+50</f>
        <v>#VALUE!</v>
      </c>
      <c r="N68" s="280" t="e">
        <f t="shared" ca="1" si="10"/>
        <v>#VALUE!</v>
      </c>
      <c r="O68" s="281" t="e">
        <f t="shared" ca="1" si="10"/>
        <v>#VALUE!</v>
      </c>
      <c r="P68" s="279" t="e">
        <f t="shared" ca="1" si="10"/>
        <v>#VALUE!</v>
      </c>
      <c r="Q68" s="280" t="e">
        <f t="shared" ca="1" si="10"/>
        <v>#VALUE!</v>
      </c>
      <c r="R68" s="281" t="e">
        <f t="shared" ca="1" si="10"/>
        <v>#VALUE!</v>
      </c>
      <c r="S68" s="279" t="e">
        <f t="shared" ca="1" si="10"/>
        <v>#VALUE!</v>
      </c>
      <c r="T68" s="280" t="e">
        <f t="shared" ca="1" si="10"/>
        <v>#VALUE!</v>
      </c>
      <c r="U68" s="281" t="e">
        <f t="shared" ca="1" si="10"/>
        <v>#VALUE!</v>
      </c>
      <c r="V68" s="279" t="e">
        <f t="shared" ca="1" si="10"/>
        <v>#VALUE!</v>
      </c>
      <c r="W68" s="280" t="e">
        <f t="shared" ca="1" si="10"/>
        <v>#VALUE!</v>
      </c>
      <c r="X68" s="281" t="e">
        <f t="shared" ca="1" si="10"/>
        <v>#VALUE!</v>
      </c>
    </row>
    <row r="69" spans="1:24">
      <c r="A69" s="261"/>
      <c r="B69" s="261"/>
      <c r="C69" s="261"/>
      <c r="D69" s="261"/>
      <c r="E69" s="261"/>
      <c r="F69" s="261"/>
      <c r="G69" s="261"/>
      <c r="H69" s="261"/>
      <c r="I69" s="261"/>
      <c r="J69" s="261"/>
      <c r="K69" s="261"/>
      <c r="L69" s="47" t="s">
        <v>35</v>
      </c>
      <c r="M69" s="92" t="e">
        <f ca="1">IF(N55&lt;&gt;M66,IF(N55&lt;&gt;M67,IF(N55&lt;&gt;M68,0,1),1),1)</f>
        <v>#VALUE!</v>
      </c>
      <c r="N69" s="93" t="e">
        <f ca="1">IF(N55+1&lt;&gt;N66,IF(N55+1&lt;&gt;N67,IF(N55+1&lt;&gt;N68,0,1),1),1)</f>
        <v>#VALUE!</v>
      </c>
      <c r="O69" s="94" t="e">
        <f ca="1">IF(N55+2&lt;&gt;O66,IF(N55+2&lt;&gt;O67,IF(N55+2&lt;&gt;O68,0,1),1),1)</f>
        <v>#VALUE!</v>
      </c>
      <c r="P69" s="92" t="e">
        <f ca="1">IF(Q55&lt;&gt;P66,IF(Q55&lt;&gt;P67,IF(Q55&lt;&gt;P68,0,1),1),1)</f>
        <v>#VALUE!</v>
      </c>
      <c r="Q69" s="93" t="e">
        <f ca="1">IF(Q55+1&lt;&gt;Q66,IF(Q55+1&lt;&gt;Q67,IF(Q55+1&lt;&gt;Q68,0,1),1),1)</f>
        <v>#VALUE!</v>
      </c>
      <c r="R69" s="94" t="e">
        <f ca="1">IF(Q55+2&lt;&gt;R66,IF(Q55+2&lt;&gt;R67,IF(Q55+2&lt;&gt;R68,0,1),1),1)</f>
        <v>#VALUE!</v>
      </c>
      <c r="S69" s="92" t="e">
        <f ca="1">IF(T55&lt;&gt;S66,IF(T55&lt;&gt;S67,IF(T55&lt;&gt;S68,0,1),1),1)</f>
        <v>#VALUE!</v>
      </c>
      <c r="T69" s="93" t="e">
        <f ca="1">IF(T55+1&lt;&gt;T66,IF(T55+1&lt;&gt;T67,IF(T55+1&lt;&gt;T68,0,1),1),1)</f>
        <v>#VALUE!</v>
      </c>
      <c r="U69" s="94" t="e">
        <f ca="1">IF(T55+2&lt;&gt;U66,IF(T55+2&lt;&gt;U67,IF(T55+2&lt;&gt;U68,0,1),1),1)</f>
        <v>#VALUE!</v>
      </c>
      <c r="V69" s="92" t="e">
        <f ca="1">IF(W55&lt;&gt;V66,IF(W55&lt;&gt;V67,IF(W55&lt;&gt;V68,0,1),1),1)</f>
        <v>#VALUE!</v>
      </c>
      <c r="W69" s="93" t="e">
        <f ca="1">IF(W55+1&lt;&gt;W66,IF(W55+1&lt;&gt;W67,IF(W55+1&lt;&gt;W68,0,1),1),1)</f>
        <v>#VALUE!</v>
      </c>
      <c r="X69" s="94" t="e">
        <f ca="1">IF(W55+2&lt;&gt;X66,IF(W55+2&lt;&gt;X67,IF(W55+2&lt;&gt;X68,0,1),1),1)</f>
        <v>#VALUE!</v>
      </c>
    </row>
    <row r="70" spans="1:24">
      <c r="A70" s="261"/>
      <c r="B70" s="261"/>
      <c r="C70" s="261"/>
      <c r="D70" s="261"/>
      <c r="E70" s="261"/>
      <c r="F70" s="261"/>
      <c r="G70" s="261"/>
      <c r="H70" s="261"/>
      <c r="I70" s="261"/>
      <c r="J70" s="261"/>
      <c r="K70" s="261"/>
      <c r="L70" s="47" t="s">
        <v>57</v>
      </c>
      <c r="M70" s="95" t="e">
        <f ca="1">IF(OR(M64=1,M69=1),1,0)</f>
        <v>#VALUE!</v>
      </c>
      <c r="N70" s="96" t="e">
        <f ca="1">IF(OR(N64=1,N69=1),1,0)</f>
        <v>#VALUE!</v>
      </c>
      <c r="O70" s="97" t="e">
        <f ca="1">IF(OR(O64=1,O69=1),1,0)</f>
        <v>#VALUE!</v>
      </c>
      <c r="P70" s="95" t="e">
        <f t="shared" ref="P70:X70" ca="1" si="11">IF(OR(P64=1,P69=1),1,0)</f>
        <v>#VALUE!</v>
      </c>
      <c r="Q70" s="96" t="e">
        <f t="shared" ca="1" si="11"/>
        <v>#VALUE!</v>
      </c>
      <c r="R70" s="97" t="e">
        <f t="shared" ca="1" si="11"/>
        <v>#VALUE!</v>
      </c>
      <c r="S70" s="95" t="e">
        <f t="shared" ca="1" si="11"/>
        <v>#VALUE!</v>
      </c>
      <c r="T70" s="96" t="e">
        <f t="shared" ca="1" si="11"/>
        <v>#VALUE!</v>
      </c>
      <c r="U70" s="97" t="e">
        <f t="shared" ca="1" si="11"/>
        <v>#VALUE!</v>
      </c>
      <c r="V70" s="95" t="e">
        <f t="shared" ca="1" si="11"/>
        <v>#VALUE!</v>
      </c>
      <c r="W70" s="96" t="e">
        <f t="shared" ca="1" si="11"/>
        <v>#VALUE!</v>
      </c>
      <c r="X70" s="97" t="e">
        <f t="shared" ca="1" si="11"/>
        <v>#VALUE!</v>
      </c>
    </row>
    <row r="71" spans="1:24">
      <c r="A71" s="261"/>
      <c r="B71" s="261"/>
      <c r="C71" s="261"/>
      <c r="D71" s="261"/>
      <c r="E71" s="261"/>
      <c r="F71" s="261"/>
      <c r="G71" s="261"/>
      <c r="H71" s="261"/>
      <c r="I71" s="261"/>
      <c r="J71" s="261"/>
      <c r="K71" s="261"/>
      <c r="L71" s="282"/>
    </row>
    <row r="72" spans="1:24">
      <c r="L72" s="19" t="s">
        <v>63</v>
      </c>
      <c r="M72" s="101" t="e">
        <f ca="1">IF(AND(O55&lt;&gt;"samedi",O55&lt;&gt;"dimanche"),IF(AND(M70=1,O55="vendredi"),3,IF(AND(M70=1,O55="samedi"),2,IF(M70=1,1,0))),IF(AND(O55="samedi",O70=1),3,IF(O55="samedi",2,IF(AND(O55="dimanche",N70=1),2,1))))</f>
        <v>#VALUE!</v>
      </c>
      <c r="N72" s="277"/>
      <c r="O72" s="277"/>
      <c r="P72" s="101" t="e">
        <f ca="1">IF(AND(R55&lt;&gt;"samedi",R55&lt;&gt;"dimanche"),IF(AND(P70=1,R55="vendredi"),3,IF(AND(P70=1,R55="samedi"),2,IF(P70=1,1,0))),IF(AND(R55="samedi",R70=1),3,IF(R55="samedi",2,IF(AND(R55="dimanche",Q70=1),2,1))))</f>
        <v>#VALUE!</v>
      </c>
      <c r="Q72" s="277"/>
      <c r="R72" s="277"/>
      <c r="S72" s="101" t="e">
        <f ca="1">IF(AND(U55&lt;&gt;"samedi",U55&lt;&gt;"dimanche"),IF(AND(S70=1,U55="vendredi"),3,IF(AND(S70=1,U55="samedi"),2,IF(S70=1,1,0))),IF(AND(U55="samedi",U70=1),3,IF(U55="samedi",2,IF(AND(U55="dimanche",T70=1),2,1))))</f>
        <v>#VALUE!</v>
      </c>
      <c r="T72" s="277"/>
      <c r="U72" s="277"/>
      <c r="V72" s="101" t="e">
        <f ca="1">IF(AND(X55&lt;&gt;"samedi",X55&lt;&gt;"dimanche"),IF(AND(V70=1,X55="vendredi"),3,IF(AND(V70=1,X55="samedi"),2,IF(V70=1,1,0))),IF(AND(X55="samedi",X70=1),3,IF(X55="samedi",2,IF(AND(X55="dimanche",W70=1),2,1))))</f>
        <v>#VALUE!</v>
      </c>
      <c r="W72" s="277"/>
      <c r="X72" s="277"/>
    </row>
  </sheetData>
  <sheetProtection sheet="1" objects="1" scenarios="1"/>
  <mergeCells count="19">
    <mergeCell ref="B7:G7"/>
    <mergeCell ref="F14:G14"/>
    <mergeCell ref="F36:G36"/>
    <mergeCell ref="B13:D13"/>
    <mergeCell ref="F18:G18"/>
    <mergeCell ref="F19:G19"/>
    <mergeCell ref="F55:G55"/>
    <mergeCell ref="B25:D25"/>
    <mergeCell ref="F26:G26"/>
    <mergeCell ref="F30:G30"/>
    <mergeCell ref="F31:G31"/>
    <mergeCell ref="F38:G38"/>
    <mergeCell ref="F42:G42"/>
    <mergeCell ref="B49:D49"/>
    <mergeCell ref="F50:G50"/>
    <mergeCell ref="F54:G54"/>
    <mergeCell ref="F47:G47"/>
    <mergeCell ref="F43:G43"/>
    <mergeCell ref="B37:D37"/>
  </mergeCells>
  <conditionalFormatting sqref="D16 D28 D40 D52">
    <cfRule type="cellIs" dxfId="91" priority="1" stopIfTrue="1" operator="greaterThan">
      <formula>D15</formula>
    </cfRule>
  </conditionalFormatting>
  <conditionalFormatting sqref="A13 A25 A49 A37">
    <cfRule type="cellIs" dxfId="90" priority="2" stopIfTrue="1" operator="equal">
      <formula>""</formula>
    </cfRule>
  </conditionalFormatting>
  <conditionalFormatting sqref="D45 D21 D33 D57">
    <cfRule type="cellIs" dxfId="89" priority="3" stopIfTrue="1" operator="equal">
      <formula>""</formula>
    </cfRule>
  </conditionalFormatting>
  <conditionalFormatting sqref="B30 B18 B42 B54">
    <cfRule type="expression" dxfId="88" priority="4" stopIfTrue="1">
      <formula>MAX(I17,I21)&lt;&gt;0</formula>
    </cfRule>
  </conditionalFormatting>
  <conditionalFormatting sqref="C18 C42 C30 C54">
    <cfRule type="expression" dxfId="87" priority="5" stopIfTrue="1">
      <formula>MAX(I17,I21)&lt;&gt;0</formula>
    </cfRule>
  </conditionalFormatting>
  <conditionalFormatting sqref="B19 B31 B43 B55">
    <cfRule type="expression" dxfId="86" priority="6" stopIfTrue="1">
      <formula>MAX(I17,I21)&lt;&gt;0</formula>
    </cfRule>
  </conditionalFormatting>
  <conditionalFormatting sqref="C19 C31 C43 C55">
    <cfRule type="expression" dxfId="85" priority="7" stopIfTrue="1">
      <formula>MAX(I17,I21)&lt;&gt;0</formula>
    </cfRule>
  </conditionalFormatting>
  <conditionalFormatting sqref="F42 F54">
    <cfRule type="expression" dxfId="84" priority="8" stopIfTrue="1">
      <formula>J19&gt;0</formula>
    </cfRule>
  </conditionalFormatting>
  <conditionalFormatting sqref="F19:G19 F43:G43 F31:G31 F55:G55">
    <cfRule type="cellIs" dxfId="83" priority="9" stopIfTrue="1" operator="notEqual">
      <formula>""</formula>
    </cfRule>
  </conditionalFormatting>
  <conditionalFormatting sqref="F18">
    <cfRule type="expression" dxfId="82" priority="10" stopIfTrue="1">
      <formula>J7&gt;0</formula>
    </cfRule>
  </conditionalFormatting>
  <conditionalFormatting sqref="F30">
    <cfRule type="expression" dxfId="81" priority="11" stopIfTrue="1">
      <formula>J9&gt;0</formula>
    </cfRule>
  </conditionalFormatting>
  <conditionalFormatting sqref="C22 C34 C46 C58">
    <cfRule type="expression" dxfId="80" priority="12" stopIfTrue="1">
      <formula>AND(C22&lt;&gt;"",C22&lt;C18)</formula>
    </cfRule>
  </conditionalFormatting>
  <conditionalFormatting sqref="B16 B28 B40 B52">
    <cfRule type="expression" dxfId="79" priority="13" stopIfTrue="1">
      <formula>(B21-B22)&lt;5</formula>
    </cfRule>
  </conditionalFormatting>
  <conditionalFormatting sqref="C45 C33 C21 C57">
    <cfRule type="expression" dxfId="78" priority="14" stopIfTrue="1">
      <formula>AND(C21&lt;&gt;"",C21&lt;C18)</formula>
    </cfRule>
  </conditionalFormatting>
  <conditionalFormatting sqref="C16 C28 C40 C52">
    <cfRule type="cellIs" dxfId="77" priority="15" stopIfTrue="1" operator="lessThan">
      <formula>C15</formula>
    </cfRule>
  </conditionalFormatting>
  <printOptions horizontalCentered="1"/>
  <pageMargins left="0.59055118110236227" right="0.59055118110236227" top="0.78740157480314965" bottom="0.78740157480314965" header="0.51181102362204722" footer="0.51181102362204722"/>
  <pageSetup paperSize="9" scale="94" orientation="portrait" r:id="rId1"/>
  <headerFooter alignWithMargins="0">
    <oddHeader>&amp;L&amp;"Bookman Old Style,Gras"&amp;8&amp;UDécret du 11 mars 1999&amp;C&amp;"Bookman Old Style,Gras"Délais 1&amp;Xère&amp;X instance&amp;R&amp;"Arial,Gras italique"&amp;8&amp;A</oddHeader>
    <oddFooter xml:space="preserve">&amp;L&amp;"Cambria,Normal"&amp;8Feuille créée à partir de l'application RGPE&amp;C&amp;"Calibri,Normal"&amp;8Dossiers introduits à partir du 4/12/2011
(Décret programme du 27/10/2011)&amp;R&amp;"Comic Sans MS,Gras"&amp;8Imprimé le &amp;D 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Feuil2"/>
  <dimension ref="A1:DB84"/>
  <sheetViews>
    <sheetView zoomScaleNormal="100" workbookViewId="0">
      <selection activeCell="E17" sqref="E17"/>
    </sheetView>
  </sheetViews>
  <sheetFormatPr baseColWidth="10" defaultRowHeight="12.75"/>
  <cols>
    <col min="1" max="1" width="24" customWidth="1"/>
    <col min="3" max="3" width="12.140625" customWidth="1"/>
    <col min="4" max="4" width="11" customWidth="1"/>
    <col min="5" max="5" width="12.7109375" customWidth="1"/>
    <col min="6" max="6" width="12" customWidth="1"/>
    <col min="7" max="7" width="14.7109375" customWidth="1"/>
    <col min="8" max="8" width="11.42578125" customWidth="1"/>
    <col min="9" max="9" width="19.28515625" hidden="1" customWidth="1"/>
    <col min="10" max="10" width="18.85546875" hidden="1" customWidth="1"/>
    <col min="11" max="11" width="15" hidden="1" customWidth="1"/>
    <col min="12" max="12" width="10.28515625" hidden="1" customWidth="1"/>
    <col min="13" max="14" width="10.7109375" hidden="1" customWidth="1"/>
    <col min="15" max="15" width="12.28515625" hidden="1" customWidth="1"/>
    <col min="16" max="18" width="10.7109375" hidden="1" customWidth="1"/>
    <col min="19" max="19" width="11.7109375" hidden="1" customWidth="1"/>
    <col min="20" max="20" width="13.5703125" hidden="1" customWidth="1"/>
    <col min="21" max="36" width="11.42578125" hidden="1" customWidth="1"/>
    <col min="37" max="37" width="11.28515625" hidden="1" customWidth="1"/>
    <col min="38" max="38" width="14.42578125" hidden="1" customWidth="1"/>
    <col min="39" max="106" width="11.42578125" hidden="1" customWidth="1"/>
  </cols>
  <sheetData>
    <row r="1" spans="1:106" ht="13.5" customHeight="1">
      <c r="A1" s="1" t="s">
        <v>0</v>
      </c>
      <c r="B1" s="76" t="str">
        <f>IF(Demande!L81=TRUE,IF(Demande!B1&lt;&gt;"",Demande!B1,""),"")</f>
        <v/>
      </c>
      <c r="C1" s="76"/>
      <c r="D1" s="76"/>
      <c r="E1" s="76"/>
      <c r="F1" s="141" t="s">
        <v>976</v>
      </c>
      <c r="G1" s="142" t="str">
        <f>IF(Demande!L81=TRUE,IF(Demande!G1&lt;&gt;"",Demande!G1,""),"")</f>
        <v/>
      </c>
      <c r="I1" s="25"/>
    </row>
    <row r="2" spans="1:106" ht="13.5" customHeight="1">
      <c r="A2" s="2" t="s">
        <v>1</v>
      </c>
      <c r="B2" s="5" t="str">
        <f>IF(Demande!L81=TRUE,IF(Demande!B2&lt;&gt;"",Demande!B2,""),"")</f>
        <v/>
      </c>
      <c r="C2" s="5"/>
      <c r="D2" s="5"/>
      <c r="E2" s="5"/>
      <c r="F2" s="5"/>
      <c r="G2" s="5"/>
    </row>
    <row r="3" spans="1:106" ht="13.5" customHeight="1">
      <c r="A3" s="4" t="s">
        <v>2</v>
      </c>
      <c r="B3" s="5" t="str">
        <f>IF(Demande!L81=TRUE,IF(Demande!B3&lt;&gt;"",Demande!B3,""),"")</f>
        <v/>
      </c>
      <c r="C3" s="5"/>
      <c r="D3" s="5"/>
      <c r="E3" s="5"/>
      <c r="F3" s="5"/>
      <c r="G3" s="5"/>
    </row>
    <row r="4" spans="1:106" ht="13.5" customHeight="1">
      <c r="A4" s="4" t="s">
        <v>3</v>
      </c>
      <c r="B4" s="5" t="str">
        <f>IF(Demande!L81=TRUE,IF(Demande!B4&lt;&gt;"",Demande!B4,""),"")</f>
        <v/>
      </c>
      <c r="C4" s="5"/>
      <c r="D4" s="5"/>
      <c r="E4" s="5"/>
      <c r="F4" s="5"/>
      <c r="G4" s="5"/>
      <c r="I4" s="187">
        <f>IF(AND(F26&lt;&gt;"",Demande!L79=1),IF(F26&lt;=I33,1,0),0)</f>
        <v>0</v>
      </c>
      <c r="P4" s="14"/>
      <c r="Q4" s="7" t="s">
        <v>14</v>
      </c>
      <c r="R4" s="14"/>
      <c r="S4" s="14"/>
      <c r="T4" s="7" t="s">
        <v>15</v>
      </c>
      <c r="U4" s="14"/>
      <c r="V4" s="14"/>
      <c r="W4" s="7" t="s">
        <v>16</v>
      </c>
      <c r="X4" s="14"/>
      <c r="Y4" s="14"/>
      <c r="Z4" s="7" t="s">
        <v>17</v>
      </c>
      <c r="AA4" s="14"/>
      <c r="AB4" s="14"/>
      <c r="AC4" s="7" t="s">
        <v>18</v>
      </c>
      <c r="AD4" s="14"/>
      <c r="AE4" s="14"/>
      <c r="AF4" s="7" t="s">
        <v>19</v>
      </c>
      <c r="AG4" s="14"/>
      <c r="AH4" s="14"/>
      <c r="AI4" s="7" t="s">
        <v>20</v>
      </c>
      <c r="AJ4" s="14"/>
      <c r="AK4" s="14"/>
      <c r="AL4" s="7" t="s">
        <v>21</v>
      </c>
      <c r="AM4" s="14"/>
      <c r="AN4" s="14"/>
      <c r="AO4" s="7" t="s">
        <v>22</v>
      </c>
      <c r="AP4" s="14"/>
      <c r="AQ4" s="14"/>
      <c r="AR4" s="7" t="s">
        <v>23</v>
      </c>
      <c r="AS4" s="14"/>
      <c r="AT4" s="14"/>
      <c r="AU4" s="7" t="s">
        <v>974</v>
      </c>
      <c r="AV4" s="14"/>
      <c r="AW4" s="14"/>
      <c r="AX4" s="7" t="s">
        <v>975</v>
      </c>
      <c r="AY4" s="14"/>
      <c r="AZ4" s="14"/>
      <c r="BA4" s="7" t="s">
        <v>990</v>
      </c>
      <c r="BB4" s="14"/>
      <c r="BC4" s="14"/>
      <c r="BD4" s="7" t="s">
        <v>991</v>
      </c>
      <c r="BE4" s="14"/>
      <c r="BF4" s="14"/>
      <c r="BG4" s="7" t="s">
        <v>992</v>
      </c>
      <c r="BH4" s="14"/>
      <c r="BI4" s="14"/>
      <c r="BJ4" s="7" t="s">
        <v>993</v>
      </c>
      <c r="BK4" s="14"/>
      <c r="BL4" s="14"/>
      <c r="BM4" s="7" t="s">
        <v>994</v>
      </c>
      <c r="BN4" s="14"/>
      <c r="BO4" s="14"/>
      <c r="BP4" s="7" t="s">
        <v>995</v>
      </c>
      <c r="BQ4" s="14"/>
      <c r="BR4" s="14"/>
      <c r="BS4" s="7" t="s">
        <v>996</v>
      </c>
      <c r="BT4" s="14"/>
      <c r="BU4" s="14"/>
      <c r="BV4" s="7" t="s">
        <v>997</v>
      </c>
      <c r="BW4" s="14"/>
      <c r="BX4" s="14"/>
      <c r="BY4" s="7" t="s">
        <v>998</v>
      </c>
      <c r="BZ4" s="14"/>
      <c r="CA4" s="14"/>
      <c r="CB4" s="7" t="s">
        <v>999</v>
      </c>
      <c r="CC4" s="14"/>
      <c r="CD4" s="14"/>
      <c r="CE4" s="7" t="s">
        <v>1000</v>
      </c>
      <c r="CF4" s="14"/>
      <c r="CG4" s="14"/>
      <c r="CH4" s="7" t="s">
        <v>1001</v>
      </c>
      <c r="CI4" s="14"/>
      <c r="CJ4" s="14"/>
      <c r="CK4" s="7" t="s">
        <v>1002</v>
      </c>
      <c r="CL4" s="14"/>
      <c r="CM4" s="14"/>
      <c r="CN4" s="7" t="s">
        <v>1003</v>
      </c>
      <c r="CO4" s="14"/>
      <c r="CP4" s="14"/>
      <c r="CQ4" s="7" t="s">
        <v>1004</v>
      </c>
      <c r="CR4" s="14"/>
      <c r="CS4" s="14"/>
      <c r="CT4" s="7" t="s">
        <v>1005</v>
      </c>
      <c r="CU4" s="14"/>
      <c r="CV4" s="14"/>
      <c r="CW4" s="7" t="s">
        <v>1006</v>
      </c>
      <c r="CX4" s="14"/>
      <c r="CY4" s="14"/>
      <c r="CZ4" s="7" t="s">
        <v>1007</v>
      </c>
      <c r="DA4" s="14"/>
      <c r="DB4" s="14"/>
    </row>
    <row r="5" spans="1:106" ht="13.5" customHeight="1">
      <c r="A5" s="4" t="s">
        <v>5</v>
      </c>
      <c r="B5" s="5" t="str">
        <f>IF(Demande!L81=TRUE,IF(Demande!B5&lt;&gt;"",Demande!B5,""),"")</f>
        <v/>
      </c>
      <c r="C5" s="5"/>
      <c r="D5" s="5"/>
      <c r="E5" s="5"/>
      <c r="F5" s="5"/>
      <c r="G5" s="5"/>
      <c r="I5" s="187">
        <f>Demande!L79</f>
        <v>1</v>
      </c>
      <c r="J5" s="338">
        <f ca="1">IF(Demande!L81=TRUE,IF(Demande!L79=1,IF(AND(F26&lt;&gt;"",F26&lt;=F23,F27=""),3,IF(OR(AND(F26&gt;F23,G26&gt;G23),AND(F26&gt;F23,G26="",TODAY()&gt;G23),AND(F26="",G26="",TODAY()&gt;G23)),1,IF(AND(F26&lt;=F23,OR(G26&gt;G23,AND(G26="",TODAY()&gt;G23))),2,0))),IF(OR(G26&gt;G23,AND(G26="",TODAY()&gt;G23)),1,0)),0)</f>
        <v>0</v>
      </c>
      <c r="K5" s="246" t="s">
        <v>1085</v>
      </c>
      <c r="L5" s="246"/>
      <c r="P5" s="14"/>
      <c r="Q5" s="22" t="s">
        <v>24</v>
      </c>
      <c r="R5" s="22" t="s">
        <v>25</v>
      </c>
      <c r="S5" s="22" t="s">
        <v>26</v>
      </c>
      <c r="T5" s="22" t="s">
        <v>24</v>
      </c>
      <c r="U5" s="22" t="s">
        <v>25</v>
      </c>
      <c r="V5" s="22" t="s">
        <v>26</v>
      </c>
      <c r="W5" s="22" t="s">
        <v>24</v>
      </c>
      <c r="X5" s="22" t="s">
        <v>25</v>
      </c>
      <c r="Y5" s="22" t="s">
        <v>26</v>
      </c>
      <c r="Z5" s="22" t="s">
        <v>24</v>
      </c>
      <c r="AA5" s="22" t="s">
        <v>25</v>
      </c>
      <c r="AB5" s="22" t="s">
        <v>26</v>
      </c>
      <c r="AC5" s="22" t="s">
        <v>24</v>
      </c>
      <c r="AD5" s="22" t="s">
        <v>25</v>
      </c>
      <c r="AE5" s="22" t="s">
        <v>26</v>
      </c>
      <c r="AF5" s="22" t="s">
        <v>24</v>
      </c>
      <c r="AG5" s="22" t="s">
        <v>25</v>
      </c>
      <c r="AH5" s="22" t="s">
        <v>26</v>
      </c>
      <c r="AI5" s="22" t="s">
        <v>24</v>
      </c>
      <c r="AJ5" s="22" t="s">
        <v>25</v>
      </c>
      <c r="AK5" s="22" t="s">
        <v>26</v>
      </c>
      <c r="AL5" s="22" t="s">
        <v>24</v>
      </c>
      <c r="AM5" s="22" t="s">
        <v>25</v>
      </c>
      <c r="AN5" s="22" t="s">
        <v>26</v>
      </c>
      <c r="AO5" s="22" t="s">
        <v>24</v>
      </c>
      <c r="AP5" s="22" t="s">
        <v>25</v>
      </c>
      <c r="AQ5" s="22" t="s">
        <v>26</v>
      </c>
      <c r="AR5" s="22" t="s">
        <v>24</v>
      </c>
      <c r="AS5" s="22" t="s">
        <v>25</v>
      </c>
      <c r="AT5" s="22" t="s">
        <v>26</v>
      </c>
      <c r="AU5" s="22" t="s">
        <v>24</v>
      </c>
      <c r="AV5" s="22" t="s">
        <v>25</v>
      </c>
      <c r="AW5" s="22" t="s">
        <v>26</v>
      </c>
      <c r="AX5" s="22" t="s">
        <v>24</v>
      </c>
      <c r="AY5" s="22" t="s">
        <v>25</v>
      </c>
      <c r="AZ5" s="22" t="s">
        <v>26</v>
      </c>
      <c r="BA5" s="22" t="s">
        <v>24</v>
      </c>
      <c r="BB5" s="22" t="s">
        <v>25</v>
      </c>
      <c r="BC5" s="22" t="s">
        <v>26</v>
      </c>
      <c r="BD5" s="22" t="s">
        <v>24</v>
      </c>
      <c r="BE5" s="22" t="s">
        <v>25</v>
      </c>
      <c r="BF5" s="22" t="s">
        <v>26</v>
      </c>
      <c r="BG5" s="22" t="s">
        <v>24</v>
      </c>
      <c r="BH5" s="22" t="s">
        <v>25</v>
      </c>
      <c r="BI5" s="22" t="s">
        <v>26</v>
      </c>
      <c r="BJ5" s="22" t="s">
        <v>24</v>
      </c>
      <c r="BK5" s="22" t="s">
        <v>25</v>
      </c>
      <c r="BL5" s="22" t="s">
        <v>26</v>
      </c>
      <c r="BM5" s="22" t="s">
        <v>24</v>
      </c>
      <c r="BN5" s="22" t="s">
        <v>25</v>
      </c>
      <c r="BO5" s="22" t="s">
        <v>26</v>
      </c>
      <c r="BP5" s="22" t="s">
        <v>24</v>
      </c>
      <c r="BQ5" s="22" t="s">
        <v>25</v>
      </c>
      <c r="BR5" s="22" t="s">
        <v>26</v>
      </c>
      <c r="BS5" s="22" t="s">
        <v>24</v>
      </c>
      <c r="BT5" s="22" t="s">
        <v>25</v>
      </c>
      <c r="BU5" s="22" t="s">
        <v>26</v>
      </c>
      <c r="BV5" s="22" t="s">
        <v>24</v>
      </c>
      <c r="BW5" s="22" t="s">
        <v>25</v>
      </c>
      <c r="BX5" s="22" t="s">
        <v>26</v>
      </c>
      <c r="BY5" s="22" t="s">
        <v>24</v>
      </c>
      <c r="BZ5" s="22" t="s">
        <v>25</v>
      </c>
      <c r="CA5" s="22" t="s">
        <v>26</v>
      </c>
      <c r="CB5" s="22" t="s">
        <v>24</v>
      </c>
      <c r="CC5" s="22" t="s">
        <v>25</v>
      </c>
      <c r="CD5" s="22" t="s">
        <v>26</v>
      </c>
      <c r="CE5" s="22" t="s">
        <v>24</v>
      </c>
      <c r="CF5" s="22" t="s">
        <v>25</v>
      </c>
      <c r="CG5" s="22" t="s">
        <v>26</v>
      </c>
      <c r="CH5" s="22" t="s">
        <v>24</v>
      </c>
      <c r="CI5" s="22" t="s">
        <v>25</v>
      </c>
      <c r="CJ5" s="22" t="s">
        <v>26</v>
      </c>
      <c r="CK5" s="22" t="s">
        <v>24</v>
      </c>
      <c r="CL5" s="22" t="s">
        <v>25</v>
      </c>
      <c r="CM5" s="22" t="s">
        <v>26</v>
      </c>
      <c r="CN5" s="22" t="s">
        <v>24</v>
      </c>
      <c r="CO5" s="22" t="s">
        <v>25</v>
      </c>
      <c r="CP5" s="22" t="s">
        <v>26</v>
      </c>
      <c r="CQ5" s="22" t="s">
        <v>24</v>
      </c>
      <c r="CR5" s="22" t="s">
        <v>25</v>
      </c>
      <c r="CS5" s="22" t="s">
        <v>26</v>
      </c>
      <c r="CT5" s="22" t="s">
        <v>24</v>
      </c>
      <c r="CU5" s="22" t="s">
        <v>25</v>
      </c>
      <c r="CV5" s="22" t="s">
        <v>26</v>
      </c>
      <c r="CW5" s="22" t="s">
        <v>24</v>
      </c>
      <c r="CX5" s="22" t="s">
        <v>25</v>
      </c>
      <c r="CY5" s="22" t="s">
        <v>26</v>
      </c>
      <c r="CZ5" s="22" t="s">
        <v>24</v>
      </c>
      <c r="DA5" s="22" t="s">
        <v>25</v>
      </c>
      <c r="DB5" s="22" t="s">
        <v>26</v>
      </c>
    </row>
    <row r="6" spans="1:106" ht="27" customHeight="1">
      <c r="A6" s="11" t="s">
        <v>7</v>
      </c>
      <c r="B6" s="390" t="str">
        <f>IF(Demande!L81=TRUE,IF(Demande!B6&lt;&gt;"",Demande!B6,""),"")</f>
        <v/>
      </c>
      <c r="C6" s="374"/>
      <c r="D6" s="374"/>
      <c r="E6" s="374"/>
      <c r="F6" s="374"/>
      <c r="G6" s="374"/>
      <c r="I6" s="276">
        <f>IF(Demande!$L$77=TRUE,MAX('Enquêtes multiples PM'!$J$3,I22,I26),MAX(I22,I26))</f>
        <v>0</v>
      </c>
      <c r="J6" s="254">
        <v>0</v>
      </c>
      <c r="K6" s="249" t="s">
        <v>38</v>
      </c>
      <c r="L6" s="249"/>
      <c r="P6" s="1" t="s">
        <v>65</v>
      </c>
      <c r="Q6" s="25" t="str">
        <f>IF($C38&lt;&gt;"",$C38+$J$10,"")</f>
        <v/>
      </c>
      <c r="R6" s="25" t="e">
        <f>Q6+1</f>
        <v>#VALUE!</v>
      </c>
      <c r="S6" s="25" t="e">
        <f>Q6+2</f>
        <v>#VALUE!</v>
      </c>
      <c r="T6" s="25" t="str">
        <f>IF($C39&lt;&gt;"",$C39+$J$10,"")</f>
        <v/>
      </c>
      <c r="U6" s="25" t="e">
        <f>T6+1</f>
        <v>#VALUE!</v>
      </c>
      <c r="V6" s="25" t="e">
        <f>T6+2</f>
        <v>#VALUE!</v>
      </c>
      <c r="W6" s="25" t="str">
        <f>IF($C40&lt;&gt;"",$C40+$J$10,"")</f>
        <v/>
      </c>
      <c r="X6" s="25" t="e">
        <f>W6+1</f>
        <v>#VALUE!</v>
      </c>
      <c r="Y6" s="25" t="e">
        <f>W6+2</f>
        <v>#VALUE!</v>
      </c>
      <c r="Z6" s="25" t="str">
        <f>IF($C41&lt;&gt;"",$C41+$J$10,"")</f>
        <v/>
      </c>
      <c r="AA6" s="25" t="e">
        <f>Z6+1</f>
        <v>#VALUE!</v>
      </c>
      <c r="AB6" s="25" t="e">
        <f>Z6+2</f>
        <v>#VALUE!</v>
      </c>
      <c r="AC6" s="25" t="str">
        <f>IF($C42&lt;&gt;"",$C42+$J$10,"")</f>
        <v/>
      </c>
      <c r="AD6" s="25" t="e">
        <f>AC6+1</f>
        <v>#VALUE!</v>
      </c>
      <c r="AE6" s="25" t="e">
        <f>AC6+2</f>
        <v>#VALUE!</v>
      </c>
      <c r="AF6" s="25" t="str">
        <f>IF($C43&lt;&gt;"",$C43+$J$10,"")</f>
        <v/>
      </c>
      <c r="AG6" s="25" t="e">
        <f>AF6+1</f>
        <v>#VALUE!</v>
      </c>
      <c r="AH6" s="25" t="e">
        <f>AF6+2</f>
        <v>#VALUE!</v>
      </c>
      <c r="AI6" s="25" t="str">
        <f>IF($C44&lt;&gt;"",$C44+$J$10,"")</f>
        <v/>
      </c>
      <c r="AJ6" s="25" t="e">
        <f>AI6+1</f>
        <v>#VALUE!</v>
      </c>
      <c r="AK6" s="25" t="e">
        <f>AI6+2</f>
        <v>#VALUE!</v>
      </c>
      <c r="AL6" s="25" t="str">
        <f>IF($C45&lt;&gt;"",$C45+$J$10,"")</f>
        <v/>
      </c>
      <c r="AM6" s="25" t="e">
        <f>AL6+1</f>
        <v>#VALUE!</v>
      </c>
      <c r="AN6" s="25" t="e">
        <f>AL6+2</f>
        <v>#VALUE!</v>
      </c>
      <c r="AO6" s="25" t="str">
        <f>IF($C46&lt;&gt;"",$C46+$J$10,"")</f>
        <v/>
      </c>
      <c r="AP6" s="25" t="e">
        <f>AO6+1</f>
        <v>#VALUE!</v>
      </c>
      <c r="AQ6" s="25" t="e">
        <f>AO6+2</f>
        <v>#VALUE!</v>
      </c>
      <c r="AR6" s="25" t="str">
        <f>IF($C47&lt;&gt;"",$C47+$J$10,"")</f>
        <v/>
      </c>
      <c r="AS6" s="25" t="e">
        <f>AR6+1</f>
        <v>#VALUE!</v>
      </c>
      <c r="AT6" s="25" t="e">
        <f>AR6+2</f>
        <v>#VALUE!</v>
      </c>
      <c r="AU6" s="25" t="str">
        <f>IF($C48&lt;&gt;"",$C48+$J$10,"")</f>
        <v/>
      </c>
      <c r="AV6" s="25" t="e">
        <f>AU6+1</f>
        <v>#VALUE!</v>
      </c>
      <c r="AW6" s="25" t="e">
        <f>AU6+2</f>
        <v>#VALUE!</v>
      </c>
      <c r="AX6" s="25" t="str">
        <f>IF($C49&lt;&gt;"",$C49+$J$10,"")</f>
        <v/>
      </c>
      <c r="AY6" s="25" t="e">
        <f>AX6+1</f>
        <v>#VALUE!</v>
      </c>
      <c r="AZ6" s="25" t="e">
        <f>AX6+2</f>
        <v>#VALUE!</v>
      </c>
      <c r="BA6" s="25" t="str">
        <f>IF($C50&lt;&gt;"",$C50+$J$10,"")</f>
        <v/>
      </c>
      <c r="BB6" s="25" t="e">
        <f>BA6+1</f>
        <v>#VALUE!</v>
      </c>
      <c r="BC6" s="25" t="e">
        <f>BA6+2</f>
        <v>#VALUE!</v>
      </c>
      <c r="BD6" s="25" t="str">
        <f>IF($C51&lt;&gt;"",$C51+$J$10,"")</f>
        <v/>
      </c>
      <c r="BE6" s="25" t="e">
        <f>BD6+1</f>
        <v>#VALUE!</v>
      </c>
      <c r="BF6" s="25" t="e">
        <f>BD6+2</f>
        <v>#VALUE!</v>
      </c>
      <c r="BG6" s="25" t="str">
        <f>IF($C52&lt;&gt;"",$C52+$J$10,"")</f>
        <v/>
      </c>
      <c r="BH6" s="25" t="e">
        <f>BG6+1</f>
        <v>#VALUE!</v>
      </c>
      <c r="BI6" s="25" t="e">
        <f>BG6+2</f>
        <v>#VALUE!</v>
      </c>
      <c r="BJ6" s="25" t="str">
        <f>IF($C53&lt;&gt;"",$C53+$J$10,"")</f>
        <v/>
      </c>
      <c r="BK6" s="25" t="e">
        <f>BJ6+1</f>
        <v>#VALUE!</v>
      </c>
      <c r="BL6" s="25" t="e">
        <f>BJ6+2</f>
        <v>#VALUE!</v>
      </c>
      <c r="BM6" s="25" t="str">
        <f>IF($C54&lt;&gt;"",$C54+$J$10,"")</f>
        <v/>
      </c>
      <c r="BN6" s="25" t="e">
        <f>BM6+1</f>
        <v>#VALUE!</v>
      </c>
      <c r="BO6" s="25" t="e">
        <f>BM6+2</f>
        <v>#VALUE!</v>
      </c>
      <c r="BP6" s="25" t="str">
        <f>IF($C55&lt;&gt;"",$C55+$J$10,"")</f>
        <v/>
      </c>
      <c r="BQ6" s="25" t="e">
        <f>BP6+1</f>
        <v>#VALUE!</v>
      </c>
      <c r="BR6" s="25" t="e">
        <f>BP6+2</f>
        <v>#VALUE!</v>
      </c>
      <c r="BS6" s="25" t="str">
        <f>IF($C56&lt;&gt;"",$C56+$J$10,"")</f>
        <v/>
      </c>
      <c r="BT6" s="25" t="e">
        <f>BS6+1</f>
        <v>#VALUE!</v>
      </c>
      <c r="BU6" s="25" t="e">
        <f>BS6+2</f>
        <v>#VALUE!</v>
      </c>
      <c r="BV6" s="25" t="str">
        <f>IF($C57&lt;&gt;"",$C57+$J$10,"")</f>
        <v/>
      </c>
      <c r="BW6" s="25" t="e">
        <f>BV6+1</f>
        <v>#VALUE!</v>
      </c>
      <c r="BX6" s="25" t="e">
        <f>BV6+2</f>
        <v>#VALUE!</v>
      </c>
      <c r="BY6" s="25" t="str">
        <f>IF($C58&lt;&gt;"",$C58+$J$10,"")</f>
        <v/>
      </c>
      <c r="BZ6" s="25" t="e">
        <f>BY6+1</f>
        <v>#VALUE!</v>
      </c>
      <c r="CA6" s="25" t="e">
        <f>BY6+2</f>
        <v>#VALUE!</v>
      </c>
      <c r="CB6" s="25" t="str">
        <f>IF($C59&lt;&gt;"",$C59+$J$10,"")</f>
        <v/>
      </c>
      <c r="CC6" s="25" t="e">
        <f>CB6+1</f>
        <v>#VALUE!</v>
      </c>
      <c r="CD6" s="25" t="e">
        <f>CB6+2</f>
        <v>#VALUE!</v>
      </c>
      <c r="CE6" s="25" t="str">
        <f>IF($C60&lt;&gt;"",$C60+$J$10,"")</f>
        <v/>
      </c>
      <c r="CF6" s="25" t="e">
        <f>CE6+1</f>
        <v>#VALUE!</v>
      </c>
      <c r="CG6" s="25" t="e">
        <f>CE6+2</f>
        <v>#VALUE!</v>
      </c>
      <c r="CH6" s="25" t="str">
        <f>IF($C61&lt;&gt;"",$C61+$J$10,"")</f>
        <v/>
      </c>
      <c r="CI6" s="25" t="e">
        <f>CH6+1</f>
        <v>#VALUE!</v>
      </c>
      <c r="CJ6" s="25" t="e">
        <f>CH6+2</f>
        <v>#VALUE!</v>
      </c>
      <c r="CK6" s="25" t="str">
        <f>IF($C62&lt;&gt;"",$C62+$J$10,"")</f>
        <v/>
      </c>
      <c r="CL6" s="25" t="e">
        <f>CK6+1</f>
        <v>#VALUE!</v>
      </c>
      <c r="CM6" s="25" t="e">
        <f>CK6+2</f>
        <v>#VALUE!</v>
      </c>
      <c r="CN6" s="25" t="str">
        <f>IF($C63&lt;&gt;"",$C63+$J$10,"")</f>
        <v/>
      </c>
      <c r="CO6" s="25" t="e">
        <f>CN6+1</f>
        <v>#VALUE!</v>
      </c>
      <c r="CP6" s="25" t="e">
        <f>CN6+2</f>
        <v>#VALUE!</v>
      </c>
      <c r="CQ6" s="25" t="str">
        <f>IF($C64&lt;&gt;"",$C64+$J$10,"")</f>
        <v/>
      </c>
      <c r="CR6" s="25" t="e">
        <f>CQ6+1</f>
        <v>#VALUE!</v>
      </c>
      <c r="CS6" s="25" t="e">
        <f>CQ6+2</f>
        <v>#VALUE!</v>
      </c>
      <c r="CT6" s="25" t="str">
        <f>IF($C65&lt;&gt;"",$C65+$J$10,"")</f>
        <v/>
      </c>
      <c r="CU6" s="25" t="e">
        <f>CT6+1</f>
        <v>#VALUE!</v>
      </c>
      <c r="CV6" s="25" t="e">
        <f>CT6+2</f>
        <v>#VALUE!</v>
      </c>
      <c r="CW6" s="25" t="str">
        <f>IF($C66&lt;&gt;"",$C66+$J$10,"")</f>
        <v/>
      </c>
      <c r="CX6" s="25" t="e">
        <f>CW6+1</f>
        <v>#VALUE!</v>
      </c>
      <c r="CY6" s="25" t="e">
        <f>CW6+2</f>
        <v>#VALUE!</v>
      </c>
      <c r="CZ6" s="25" t="str">
        <f>IF($C67&lt;&gt;"",$C67+$J$10,"")</f>
        <v/>
      </c>
      <c r="DA6" s="25" t="e">
        <f>CZ6+1</f>
        <v>#VALUE!</v>
      </c>
      <c r="DB6" s="25" t="e">
        <f>CZ6+2</f>
        <v>#VALUE!</v>
      </c>
    </row>
    <row r="7" spans="1:106" ht="15" customHeight="1">
      <c r="A7" s="11"/>
      <c r="B7" s="152"/>
      <c r="C7" s="139"/>
      <c r="D7" s="139"/>
      <c r="E7" s="139"/>
      <c r="F7" s="139"/>
      <c r="G7" s="139"/>
      <c r="J7" s="254">
        <v>1</v>
      </c>
      <c r="K7" s="249" t="s">
        <v>1086</v>
      </c>
      <c r="L7" s="249"/>
      <c r="P7" s="1" t="s">
        <v>28</v>
      </c>
      <c r="Q7" s="64" t="str">
        <f>TEXT(Q6,"jjjj")</f>
        <v/>
      </c>
      <c r="R7" s="64"/>
      <c r="S7" s="64"/>
      <c r="T7" s="64" t="str">
        <f>TEXT(T6,"jjjj")</f>
        <v/>
      </c>
      <c r="U7" s="64"/>
      <c r="V7" s="64"/>
      <c r="W7" s="64" t="str">
        <f>TEXT(W6,"jjjj")</f>
        <v/>
      </c>
      <c r="X7" s="64"/>
      <c r="Y7" s="64"/>
      <c r="Z7" s="64" t="str">
        <f>TEXT(Z6,"jjjj")</f>
        <v/>
      </c>
      <c r="AA7" s="64"/>
      <c r="AB7" s="64"/>
      <c r="AC7" s="64" t="str">
        <f>TEXT(AC6,"jjjj")</f>
        <v/>
      </c>
      <c r="AD7" s="64"/>
      <c r="AE7" s="64"/>
      <c r="AF7" s="64" t="str">
        <f>TEXT(AF6,"jjjj")</f>
        <v/>
      </c>
      <c r="AG7" s="64"/>
      <c r="AH7" s="6"/>
      <c r="AI7" s="6" t="str">
        <f>TEXT(AI6,"jjjj")</f>
        <v/>
      </c>
      <c r="AJ7" s="6"/>
      <c r="AK7" s="6"/>
      <c r="AL7" s="6" t="str">
        <f>TEXT(AL6,"jjjj")</f>
        <v/>
      </c>
      <c r="AM7" s="6"/>
      <c r="AN7" s="14"/>
      <c r="AO7" s="14" t="str">
        <f>TEXT(AO6,"jjjj")</f>
        <v/>
      </c>
      <c r="AP7" s="14"/>
      <c r="AQ7" s="14"/>
      <c r="AR7" s="14" t="str">
        <f>TEXT(AR6,"jjjj")</f>
        <v/>
      </c>
      <c r="AS7" s="14"/>
      <c r="AT7" s="6"/>
      <c r="AU7" s="14" t="str">
        <f>TEXT(AU6,"jjjj")</f>
        <v/>
      </c>
      <c r="AV7" s="14"/>
      <c r="AW7" s="6"/>
      <c r="AX7" s="14" t="str">
        <f>TEXT(AX6,"jjjj")</f>
        <v/>
      </c>
      <c r="AY7" s="14"/>
      <c r="AZ7" s="6"/>
      <c r="BA7" s="14" t="str">
        <f>TEXT(BA6,"jjjj")</f>
        <v/>
      </c>
      <c r="BB7" s="14"/>
      <c r="BC7" s="6"/>
      <c r="BD7" s="14" t="str">
        <f>TEXT(BD6,"jjjj")</f>
        <v/>
      </c>
      <c r="BE7" s="14"/>
      <c r="BF7" s="6"/>
      <c r="BG7" s="14" t="str">
        <f>TEXT(BG6,"jjjj")</f>
        <v/>
      </c>
      <c r="BH7" s="14"/>
      <c r="BI7" s="6"/>
      <c r="BJ7" s="14" t="str">
        <f>TEXT(BJ6,"jjjj")</f>
        <v/>
      </c>
      <c r="BK7" s="14"/>
      <c r="BL7" s="6"/>
      <c r="BM7" s="14" t="str">
        <f>TEXT(BM6,"jjjj")</f>
        <v/>
      </c>
      <c r="BN7" s="14"/>
      <c r="BO7" s="6"/>
      <c r="BP7" s="14" t="str">
        <f>TEXT(BP6,"jjjj")</f>
        <v/>
      </c>
      <c r="BQ7" s="14"/>
      <c r="BR7" s="6"/>
      <c r="BS7" s="14" t="str">
        <f>TEXT(BS6,"jjjj")</f>
        <v/>
      </c>
      <c r="BT7" s="14"/>
      <c r="BU7" s="6"/>
      <c r="BV7" s="14" t="str">
        <f>TEXT(BV6,"jjjj")</f>
        <v/>
      </c>
      <c r="BW7" s="14"/>
      <c r="BX7" s="6"/>
      <c r="BY7" s="14" t="str">
        <f>TEXT(BY6,"jjjj")</f>
        <v/>
      </c>
      <c r="BZ7" s="14"/>
      <c r="CA7" s="6"/>
      <c r="CB7" s="14" t="str">
        <f>TEXT(CB6,"jjjj")</f>
        <v/>
      </c>
      <c r="CC7" s="14"/>
      <c r="CD7" s="6"/>
      <c r="CE7" s="14" t="str">
        <f>TEXT(CE6,"jjjj")</f>
        <v/>
      </c>
      <c r="CF7" s="14"/>
      <c r="CG7" s="6"/>
      <c r="CH7" s="14" t="str">
        <f>TEXT(CH6,"jjjj")</f>
        <v/>
      </c>
      <c r="CI7" s="14"/>
      <c r="CJ7" s="6"/>
      <c r="CK7" s="14" t="str">
        <f>TEXT(CK6,"jjjj")</f>
        <v/>
      </c>
      <c r="CL7" s="14"/>
      <c r="CM7" s="6"/>
      <c r="CN7" s="14" t="str">
        <f>TEXT(CN6,"jjjj")</f>
        <v/>
      </c>
      <c r="CO7" s="14"/>
      <c r="CP7" s="6"/>
      <c r="CQ7" s="14" t="str">
        <f>TEXT(CQ6,"jjjj")</f>
        <v/>
      </c>
      <c r="CR7" s="14"/>
      <c r="CS7" s="6"/>
      <c r="CT7" s="14" t="str">
        <f>TEXT(CT6,"jjjj")</f>
        <v/>
      </c>
      <c r="CU7" s="14"/>
      <c r="CV7" s="6"/>
      <c r="CW7" s="14" t="str">
        <f>TEXT(CW6,"jjjj")</f>
        <v/>
      </c>
      <c r="CX7" s="14"/>
      <c r="CY7" s="6"/>
      <c r="CZ7" s="14" t="str">
        <f>TEXT(CZ6,"jjjj")</f>
        <v/>
      </c>
      <c r="DA7" s="14"/>
      <c r="DB7" s="6"/>
    </row>
    <row r="8" spans="1:106" ht="15" customHeight="1">
      <c r="A8" s="11"/>
      <c r="B8" s="271" t="str">
        <f>IF(Demande!$F$14&lt;&gt;"Plans modificatifs",IF(Demande!$L$81=TRUE,Demande!$F$14,""),"")</f>
        <v/>
      </c>
      <c r="C8" s="106"/>
      <c r="D8" s="106" t="str">
        <f>IF(Demande!L81=TRUE,Demande!F13,"")</f>
        <v/>
      </c>
      <c r="E8" s="106"/>
      <c r="F8" s="106" t="str">
        <f>IF(Demande!$L$81=TRUE,Demande!$D$12,"")</f>
        <v/>
      </c>
      <c r="G8" s="106"/>
      <c r="J8" s="254">
        <v>2</v>
      </c>
      <c r="K8" s="249" t="s">
        <v>1087</v>
      </c>
      <c r="L8" s="249"/>
      <c r="P8" s="26">
        <v>37257</v>
      </c>
      <c r="Q8" s="25" t="e">
        <f t="shared" ref="Q8:AZ8" si="0">DATE(YEAR(Q6),1,1)</f>
        <v>#VALUE!</v>
      </c>
      <c r="R8" s="25" t="e">
        <f t="shared" si="0"/>
        <v>#VALUE!</v>
      </c>
      <c r="S8" s="25" t="e">
        <f t="shared" si="0"/>
        <v>#VALUE!</v>
      </c>
      <c r="T8" s="25" t="e">
        <f t="shared" si="0"/>
        <v>#VALUE!</v>
      </c>
      <c r="U8" s="25" t="e">
        <f t="shared" si="0"/>
        <v>#VALUE!</v>
      </c>
      <c r="V8" s="25" t="e">
        <f t="shared" si="0"/>
        <v>#VALUE!</v>
      </c>
      <c r="W8" s="25" t="e">
        <f t="shared" si="0"/>
        <v>#VALUE!</v>
      </c>
      <c r="X8" s="25" t="e">
        <f t="shared" si="0"/>
        <v>#VALUE!</v>
      </c>
      <c r="Y8" s="25" t="e">
        <f t="shared" si="0"/>
        <v>#VALUE!</v>
      </c>
      <c r="Z8" s="25" t="e">
        <f t="shared" si="0"/>
        <v>#VALUE!</v>
      </c>
      <c r="AA8" s="25" t="e">
        <f t="shared" si="0"/>
        <v>#VALUE!</v>
      </c>
      <c r="AB8" s="25" t="e">
        <f t="shared" si="0"/>
        <v>#VALUE!</v>
      </c>
      <c r="AC8" s="25" t="e">
        <f t="shared" si="0"/>
        <v>#VALUE!</v>
      </c>
      <c r="AD8" s="25" t="e">
        <f t="shared" si="0"/>
        <v>#VALUE!</v>
      </c>
      <c r="AE8" s="25" t="e">
        <f t="shared" si="0"/>
        <v>#VALUE!</v>
      </c>
      <c r="AF8" s="25" t="e">
        <f t="shared" si="0"/>
        <v>#VALUE!</v>
      </c>
      <c r="AG8" s="25" t="e">
        <f t="shared" si="0"/>
        <v>#VALUE!</v>
      </c>
      <c r="AH8" s="25" t="e">
        <f t="shared" si="0"/>
        <v>#VALUE!</v>
      </c>
      <c r="AI8" s="25" t="e">
        <f t="shared" si="0"/>
        <v>#VALUE!</v>
      </c>
      <c r="AJ8" s="25" t="e">
        <f t="shared" si="0"/>
        <v>#VALUE!</v>
      </c>
      <c r="AK8" s="25" t="e">
        <f t="shared" si="0"/>
        <v>#VALUE!</v>
      </c>
      <c r="AL8" s="25" t="e">
        <f t="shared" si="0"/>
        <v>#VALUE!</v>
      </c>
      <c r="AM8" s="25" t="e">
        <f t="shared" si="0"/>
        <v>#VALUE!</v>
      </c>
      <c r="AN8" s="25" t="e">
        <f t="shared" si="0"/>
        <v>#VALUE!</v>
      </c>
      <c r="AO8" s="25" t="e">
        <f t="shared" si="0"/>
        <v>#VALUE!</v>
      </c>
      <c r="AP8" s="25" t="e">
        <f t="shared" si="0"/>
        <v>#VALUE!</v>
      </c>
      <c r="AQ8" s="25" t="e">
        <f t="shared" si="0"/>
        <v>#VALUE!</v>
      </c>
      <c r="AR8" s="25" t="e">
        <f t="shared" si="0"/>
        <v>#VALUE!</v>
      </c>
      <c r="AS8" s="25" t="e">
        <f t="shared" si="0"/>
        <v>#VALUE!</v>
      </c>
      <c r="AT8" s="25" t="e">
        <f t="shared" si="0"/>
        <v>#VALUE!</v>
      </c>
      <c r="AU8" s="25" t="e">
        <f t="shared" si="0"/>
        <v>#VALUE!</v>
      </c>
      <c r="AV8" s="25" t="e">
        <f t="shared" si="0"/>
        <v>#VALUE!</v>
      </c>
      <c r="AW8" s="25" t="e">
        <f t="shared" si="0"/>
        <v>#VALUE!</v>
      </c>
      <c r="AX8" s="25" t="e">
        <f t="shared" si="0"/>
        <v>#VALUE!</v>
      </c>
      <c r="AY8" s="25" t="e">
        <f t="shared" si="0"/>
        <v>#VALUE!</v>
      </c>
      <c r="AZ8" s="25" t="e">
        <f t="shared" si="0"/>
        <v>#VALUE!</v>
      </c>
      <c r="BA8" s="25" t="e">
        <f t="shared" ref="BA8:DB8" si="1">DATE(YEAR(BA6),1,1)</f>
        <v>#VALUE!</v>
      </c>
      <c r="BB8" s="25" t="e">
        <f t="shared" si="1"/>
        <v>#VALUE!</v>
      </c>
      <c r="BC8" s="25" t="e">
        <f t="shared" si="1"/>
        <v>#VALUE!</v>
      </c>
      <c r="BD8" s="25" t="e">
        <f t="shared" si="1"/>
        <v>#VALUE!</v>
      </c>
      <c r="BE8" s="25" t="e">
        <f t="shared" si="1"/>
        <v>#VALUE!</v>
      </c>
      <c r="BF8" s="25" t="e">
        <f t="shared" si="1"/>
        <v>#VALUE!</v>
      </c>
      <c r="BG8" s="25" t="e">
        <f t="shared" si="1"/>
        <v>#VALUE!</v>
      </c>
      <c r="BH8" s="25" t="e">
        <f t="shared" si="1"/>
        <v>#VALUE!</v>
      </c>
      <c r="BI8" s="25" t="e">
        <f t="shared" si="1"/>
        <v>#VALUE!</v>
      </c>
      <c r="BJ8" s="25" t="e">
        <f t="shared" si="1"/>
        <v>#VALUE!</v>
      </c>
      <c r="BK8" s="25" t="e">
        <f t="shared" si="1"/>
        <v>#VALUE!</v>
      </c>
      <c r="BL8" s="25" t="e">
        <f t="shared" si="1"/>
        <v>#VALUE!</v>
      </c>
      <c r="BM8" s="25" t="e">
        <f t="shared" si="1"/>
        <v>#VALUE!</v>
      </c>
      <c r="BN8" s="25" t="e">
        <f t="shared" si="1"/>
        <v>#VALUE!</v>
      </c>
      <c r="BO8" s="25" t="e">
        <f t="shared" si="1"/>
        <v>#VALUE!</v>
      </c>
      <c r="BP8" s="25" t="e">
        <f t="shared" si="1"/>
        <v>#VALUE!</v>
      </c>
      <c r="BQ8" s="25" t="e">
        <f t="shared" si="1"/>
        <v>#VALUE!</v>
      </c>
      <c r="BR8" s="25" t="e">
        <f t="shared" si="1"/>
        <v>#VALUE!</v>
      </c>
      <c r="BS8" s="25" t="e">
        <f t="shared" si="1"/>
        <v>#VALUE!</v>
      </c>
      <c r="BT8" s="25" t="e">
        <f t="shared" si="1"/>
        <v>#VALUE!</v>
      </c>
      <c r="BU8" s="25" t="e">
        <f t="shared" si="1"/>
        <v>#VALUE!</v>
      </c>
      <c r="BV8" s="25" t="e">
        <f t="shared" si="1"/>
        <v>#VALUE!</v>
      </c>
      <c r="BW8" s="25" t="e">
        <f t="shared" si="1"/>
        <v>#VALUE!</v>
      </c>
      <c r="BX8" s="25" t="e">
        <f t="shared" si="1"/>
        <v>#VALUE!</v>
      </c>
      <c r="BY8" s="25" t="e">
        <f t="shared" si="1"/>
        <v>#VALUE!</v>
      </c>
      <c r="BZ8" s="25" t="e">
        <f t="shared" si="1"/>
        <v>#VALUE!</v>
      </c>
      <c r="CA8" s="25" t="e">
        <f t="shared" si="1"/>
        <v>#VALUE!</v>
      </c>
      <c r="CB8" s="25" t="e">
        <f t="shared" si="1"/>
        <v>#VALUE!</v>
      </c>
      <c r="CC8" s="25" t="e">
        <f t="shared" si="1"/>
        <v>#VALUE!</v>
      </c>
      <c r="CD8" s="25" t="e">
        <f t="shared" si="1"/>
        <v>#VALUE!</v>
      </c>
      <c r="CE8" s="25" t="e">
        <f t="shared" si="1"/>
        <v>#VALUE!</v>
      </c>
      <c r="CF8" s="25" t="e">
        <f t="shared" si="1"/>
        <v>#VALUE!</v>
      </c>
      <c r="CG8" s="25" t="e">
        <f t="shared" si="1"/>
        <v>#VALUE!</v>
      </c>
      <c r="CH8" s="25" t="e">
        <f t="shared" si="1"/>
        <v>#VALUE!</v>
      </c>
      <c r="CI8" s="25" t="e">
        <f t="shared" si="1"/>
        <v>#VALUE!</v>
      </c>
      <c r="CJ8" s="25" t="e">
        <f t="shared" si="1"/>
        <v>#VALUE!</v>
      </c>
      <c r="CK8" s="25" t="e">
        <f t="shared" si="1"/>
        <v>#VALUE!</v>
      </c>
      <c r="CL8" s="25" t="e">
        <f t="shared" si="1"/>
        <v>#VALUE!</v>
      </c>
      <c r="CM8" s="25" t="e">
        <f t="shared" si="1"/>
        <v>#VALUE!</v>
      </c>
      <c r="CN8" s="25" t="e">
        <f t="shared" si="1"/>
        <v>#VALUE!</v>
      </c>
      <c r="CO8" s="25" t="e">
        <f t="shared" si="1"/>
        <v>#VALUE!</v>
      </c>
      <c r="CP8" s="25" t="e">
        <f t="shared" si="1"/>
        <v>#VALUE!</v>
      </c>
      <c r="CQ8" s="25" t="e">
        <f t="shared" si="1"/>
        <v>#VALUE!</v>
      </c>
      <c r="CR8" s="25" t="e">
        <f t="shared" si="1"/>
        <v>#VALUE!</v>
      </c>
      <c r="CS8" s="25" t="e">
        <f t="shared" si="1"/>
        <v>#VALUE!</v>
      </c>
      <c r="CT8" s="25" t="e">
        <f t="shared" si="1"/>
        <v>#VALUE!</v>
      </c>
      <c r="CU8" s="25" t="e">
        <f t="shared" si="1"/>
        <v>#VALUE!</v>
      </c>
      <c r="CV8" s="25" t="e">
        <f t="shared" si="1"/>
        <v>#VALUE!</v>
      </c>
      <c r="CW8" s="25" t="e">
        <f t="shared" si="1"/>
        <v>#VALUE!</v>
      </c>
      <c r="CX8" s="25" t="e">
        <f t="shared" si="1"/>
        <v>#VALUE!</v>
      </c>
      <c r="CY8" s="25" t="e">
        <f t="shared" si="1"/>
        <v>#VALUE!</v>
      </c>
      <c r="CZ8" s="25" t="e">
        <f t="shared" si="1"/>
        <v>#VALUE!</v>
      </c>
      <c r="DA8" s="25" t="e">
        <f t="shared" si="1"/>
        <v>#VALUE!</v>
      </c>
      <c r="DB8" s="25" t="e">
        <f t="shared" si="1"/>
        <v>#VALUE!</v>
      </c>
    </row>
    <row r="9" spans="1:106" ht="15" customHeight="1">
      <c r="A9" s="11"/>
      <c r="C9" s="106"/>
      <c r="D9" s="106"/>
      <c r="E9" s="106"/>
      <c r="F9" s="106" t="str">
        <f>IF(Demande!L77=TRUE,IF(Demande!L83=6,"Etablissement SEVESO",""),"")</f>
        <v/>
      </c>
      <c r="G9" s="106"/>
      <c r="P9" s="26">
        <v>37377</v>
      </c>
      <c r="Q9" s="25" t="e">
        <f t="shared" ref="Q9:AZ9" si="2">DATE(YEAR(Q6),5,1)</f>
        <v>#VALUE!</v>
      </c>
      <c r="R9" s="25" t="e">
        <f t="shared" si="2"/>
        <v>#VALUE!</v>
      </c>
      <c r="S9" s="25" t="e">
        <f t="shared" si="2"/>
        <v>#VALUE!</v>
      </c>
      <c r="T9" s="25" t="e">
        <f t="shared" si="2"/>
        <v>#VALUE!</v>
      </c>
      <c r="U9" s="25" t="e">
        <f t="shared" si="2"/>
        <v>#VALUE!</v>
      </c>
      <c r="V9" s="25" t="e">
        <f t="shared" si="2"/>
        <v>#VALUE!</v>
      </c>
      <c r="W9" s="25" t="e">
        <f t="shared" si="2"/>
        <v>#VALUE!</v>
      </c>
      <c r="X9" s="25" t="e">
        <f t="shared" si="2"/>
        <v>#VALUE!</v>
      </c>
      <c r="Y9" s="25" t="e">
        <f t="shared" si="2"/>
        <v>#VALUE!</v>
      </c>
      <c r="Z9" s="25" t="e">
        <f t="shared" si="2"/>
        <v>#VALUE!</v>
      </c>
      <c r="AA9" s="25" t="e">
        <f t="shared" si="2"/>
        <v>#VALUE!</v>
      </c>
      <c r="AB9" s="25" t="e">
        <f t="shared" si="2"/>
        <v>#VALUE!</v>
      </c>
      <c r="AC9" s="25" t="e">
        <f t="shared" si="2"/>
        <v>#VALUE!</v>
      </c>
      <c r="AD9" s="25" t="e">
        <f t="shared" si="2"/>
        <v>#VALUE!</v>
      </c>
      <c r="AE9" s="25" t="e">
        <f t="shared" si="2"/>
        <v>#VALUE!</v>
      </c>
      <c r="AF9" s="25" t="e">
        <f t="shared" si="2"/>
        <v>#VALUE!</v>
      </c>
      <c r="AG9" s="25" t="e">
        <f t="shared" si="2"/>
        <v>#VALUE!</v>
      </c>
      <c r="AH9" s="25" t="e">
        <f t="shared" si="2"/>
        <v>#VALUE!</v>
      </c>
      <c r="AI9" s="25" t="e">
        <f t="shared" si="2"/>
        <v>#VALUE!</v>
      </c>
      <c r="AJ9" s="25" t="e">
        <f t="shared" si="2"/>
        <v>#VALUE!</v>
      </c>
      <c r="AK9" s="25" t="e">
        <f t="shared" si="2"/>
        <v>#VALUE!</v>
      </c>
      <c r="AL9" s="25" t="e">
        <f t="shared" si="2"/>
        <v>#VALUE!</v>
      </c>
      <c r="AM9" s="25" t="e">
        <f t="shared" si="2"/>
        <v>#VALUE!</v>
      </c>
      <c r="AN9" s="25" t="e">
        <f t="shared" si="2"/>
        <v>#VALUE!</v>
      </c>
      <c r="AO9" s="25" t="e">
        <f t="shared" si="2"/>
        <v>#VALUE!</v>
      </c>
      <c r="AP9" s="25" t="e">
        <f t="shared" si="2"/>
        <v>#VALUE!</v>
      </c>
      <c r="AQ9" s="25" t="e">
        <f t="shared" si="2"/>
        <v>#VALUE!</v>
      </c>
      <c r="AR9" s="25" t="e">
        <f t="shared" si="2"/>
        <v>#VALUE!</v>
      </c>
      <c r="AS9" s="25" t="e">
        <f t="shared" si="2"/>
        <v>#VALUE!</v>
      </c>
      <c r="AT9" s="25" t="e">
        <f t="shared" si="2"/>
        <v>#VALUE!</v>
      </c>
      <c r="AU9" s="25" t="e">
        <f t="shared" si="2"/>
        <v>#VALUE!</v>
      </c>
      <c r="AV9" s="25" t="e">
        <f t="shared" si="2"/>
        <v>#VALUE!</v>
      </c>
      <c r="AW9" s="25" t="e">
        <f t="shared" si="2"/>
        <v>#VALUE!</v>
      </c>
      <c r="AX9" s="25" t="e">
        <f t="shared" si="2"/>
        <v>#VALUE!</v>
      </c>
      <c r="AY9" s="25" t="e">
        <f t="shared" si="2"/>
        <v>#VALUE!</v>
      </c>
      <c r="AZ9" s="25" t="e">
        <f t="shared" si="2"/>
        <v>#VALUE!</v>
      </c>
      <c r="BA9" s="25" t="e">
        <f t="shared" ref="BA9:DB9" si="3">DATE(YEAR(BA6),5,1)</f>
        <v>#VALUE!</v>
      </c>
      <c r="BB9" s="25" t="e">
        <f t="shared" si="3"/>
        <v>#VALUE!</v>
      </c>
      <c r="BC9" s="25" t="e">
        <f t="shared" si="3"/>
        <v>#VALUE!</v>
      </c>
      <c r="BD9" s="25" t="e">
        <f t="shared" si="3"/>
        <v>#VALUE!</v>
      </c>
      <c r="BE9" s="25" t="e">
        <f t="shared" si="3"/>
        <v>#VALUE!</v>
      </c>
      <c r="BF9" s="25" t="e">
        <f t="shared" si="3"/>
        <v>#VALUE!</v>
      </c>
      <c r="BG9" s="25" t="e">
        <f t="shared" si="3"/>
        <v>#VALUE!</v>
      </c>
      <c r="BH9" s="25" t="e">
        <f t="shared" si="3"/>
        <v>#VALUE!</v>
      </c>
      <c r="BI9" s="25" t="e">
        <f t="shared" si="3"/>
        <v>#VALUE!</v>
      </c>
      <c r="BJ9" s="25" t="e">
        <f t="shared" si="3"/>
        <v>#VALUE!</v>
      </c>
      <c r="BK9" s="25" t="e">
        <f t="shared" si="3"/>
        <v>#VALUE!</v>
      </c>
      <c r="BL9" s="25" t="e">
        <f t="shared" si="3"/>
        <v>#VALUE!</v>
      </c>
      <c r="BM9" s="25" t="e">
        <f t="shared" si="3"/>
        <v>#VALUE!</v>
      </c>
      <c r="BN9" s="25" t="e">
        <f t="shared" si="3"/>
        <v>#VALUE!</v>
      </c>
      <c r="BO9" s="25" t="e">
        <f t="shared" si="3"/>
        <v>#VALUE!</v>
      </c>
      <c r="BP9" s="25" t="e">
        <f t="shared" si="3"/>
        <v>#VALUE!</v>
      </c>
      <c r="BQ9" s="25" t="e">
        <f t="shared" si="3"/>
        <v>#VALUE!</v>
      </c>
      <c r="BR9" s="25" t="e">
        <f t="shared" si="3"/>
        <v>#VALUE!</v>
      </c>
      <c r="BS9" s="25" t="e">
        <f t="shared" si="3"/>
        <v>#VALUE!</v>
      </c>
      <c r="BT9" s="25" t="e">
        <f t="shared" si="3"/>
        <v>#VALUE!</v>
      </c>
      <c r="BU9" s="25" t="e">
        <f t="shared" si="3"/>
        <v>#VALUE!</v>
      </c>
      <c r="BV9" s="25" t="e">
        <f t="shared" si="3"/>
        <v>#VALUE!</v>
      </c>
      <c r="BW9" s="25" t="e">
        <f t="shared" si="3"/>
        <v>#VALUE!</v>
      </c>
      <c r="BX9" s="25" t="e">
        <f t="shared" si="3"/>
        <v>#VALUE!</v>
      </c>
      <c r="BY9" s="25" t="e">
        <f t="shared" si="3"/>
        <v>#VALUE!</v>
      </c>
      <c r="BZ9" s="25" t="e">
        <f t="shared" si="3"/>
        <v>#VALUE!</v>
      </c>
      <c r="CA9" s="25" t="e">
        <f t="shared" si="3"/>
        <v>#VALUE!</v>
      </c>
      <c r="CB9" s="25" t="e">
        <f t="shared" si="3"/>
        <v>#VALUE!</v>
      </c>
      <c r="CC9" s="25" t="e">
        <f t="shared" si="3"/>
        <v>#VALUE!</v>
      </c>
      <c r="CD9" s="25" t="e">
        <f t="shared" si="3"/>
        <v>#VALUE!</v>
      </c>
      <c r="CE9" s="25" t="e">
        <f t="shared" si="3"/>
        <v>#VALUE!</v>
      </c>
      <c r="CF9" s="25" t="e">
        <f t="shared" si="3"/>
        <v>#VALUE!</v>
      </c>
      <c r="CG9" s="25" t="e">
        <f t="shared" si="3"/>
        <v>#VALUE!</v>
      </c>
      <c r="CH9" s="25" t="e">
        <f t="shared" si="3"/>
        <v>#VALUE!</v>
      </c>
      <c r="CI9" s="25" t="e">
        <f t="shared" si="3"/>
        <v>#VALUE!</v>
      </c>
      <c r="CJ9" s="25" t="e">
        <f t="shared" si="3"/>
        <v>#VALUE!</v>
      </c>
      <c r="CK9" s="25" t="e">
        <f t="shared" si="3"/>
        <v>#VALUE!</v>
      </c>
      <c r="CL9" s="25" t="e">
        <f t="shared" si="3"/>
        <v>#VALUE!</v>
      </c>
      <c r="CM9" s="25" t="e">
        <f t="shared" si="3"/>
        <v>#VALUE!</v>
      </c>
      <c r="CN9" s="25" t="e">
        <f t="shared" si="3"/>
        <v>#VALUE!</v>
      </c>
      <c r="CO9" s="25" t="e">
        <f t="shared" si="3"/>
        <v>#VALUE!</v>
      </c>
      <c r="CP9" s="25" t="e">
        <f t="shared" si="3"/>
        <v>#VALUE!</v>
      </c>
      <c r="CQ9" s="25" t="e">
        <f t="shared" si="3"/>
        <v>#VALUE!</v>
      </c>
      <c r="CR9" s="25" t="e">
        <f t="shared" si="3"/>
        <v>#VALUE!</v>
      </c>
      <c r="CS9" s="25" t="e">
        <f t="shared" si="3"/>
        <v>#VALUE!</v>
      </c>
      <c r="CT9" s="25" t="e">
        <f t="shared" si="3"/>
        <v>#VALUE!</v>
      </c>
      <c r="CU9" s="25" t="e">
        <f t="shared" si="3"/>
        <v>#VALUE!</v>
      </c>
      <c r="CV9" s="25" t="e">
        <f t="shared" si="3"/>
        <v>#VALUE!</v>
      </c>
      <c r="CW9" s="25" t="e">
        <f t="shared" si="3"/>
        <v>#VALUE!</v>
      </c>
      <c r="CX9" s="25" t="e">
        <f t="shared" si="3"/>
        <v>#VALUE!</v>
      </c>
      <c r="CY9" s="25" t="e">
        <f t="shared" si="3"/>
        <v>#VALUE!</v>
      </c>
      <c r="CZ9" s="25" t="e">
        <f t="shared" si="3"/>
        <v>#VALUE!</v>
      </c>
      <c r="DA9" s="25" t="e">
        <f t="shared" si="3"/>
        <v>#VALUE!</v>
      </c>
      <c r="DB9" s="25" t="e">
        <f t="shared" si="3"/>
        <v>#VALUE!</v>
      </c>
    </row>
    <row r="10" spans="1:106" ht="15" customHeight="1">
      <c r="A10" s="11"/>
      <c r="B10" s="152"/>
      <c r="C10" s="139"/>
      <c r="D10" s="139"/>
      <c r="E10" s="139"/>
      <c r="F10" s="139"/>
      <c r="G10" s="139"/>
      <c r="J10" s="276">
        <f>I6+IF(OR(Demande!L76=TRUE,Demande!L83=6),Demande!M15,IF(Demande!L75=2,Demande!M14,Demande!M15))</f>
        <v>30</v>
      </c>
      <c r="P10" s="26">
        <v>37458</v>
      </c>
      <c r="Q10" s="25" t="e">
        <f t="shared" ref="Q10:AZ10" si="4">DATE(YEAR(Q6),7,21)</f>
        <v>#VALUE!</v>
      </c>
      <c r="R10" s="25" t="e">
        <f t="shared" si="4"/>
        <v>#VALUE!</v>
      </c>
      <c r="S10" s="25" t="e">
        <f t="shared" si="4"/>
        <v>#VALUE!</v>
      </c>
      <c r="T10" s="25" t="e">
        <f t="shared" si="4"/>
        <v>#VALUE!</v>
      </c>
      <c r="U10" s="25" t="e">
        <f t="shared" si="4"/>
        <v>#VALUE!</v>
      </c>
      <c r="V10" s="25" t="e">
        <f t="shared" si="4"/>
        <v>#VALUE!</v>
      </c>
      <c r="W10" s="25" t="e">
        <f t="shared" si="4"/>
        <v>#VALUE!</v>
      </c>
      <c r="X10" s="25" t="e">
        <f t="shared" si="4"/>
        <v>#VALUE!</v>
      </c>
      <c r="Y10" s="25" t="e">
        <f t="shared" si="4"/>
        <v>#VALUE!</v>
      </c>
      <c r="Z10" s="25" t="e">
        <f t="shared" si="4"/>
        <v>#VALUE!</v>
      </c>
      <c r="AA10" s="25" t="e">
        <f t="shared" si="4"/>
        <v>#VALUE!</v>
      </c>
      <c r="AB10" s="25" t="e">
        <f t="shared" si="4"/>
        <v>#VALUE!</v>
      </c>
      <c r="AC10" s="25" t="e">
        <f t="shared" si="4"/>
        <v>#VALUE!</v>
      </c>
      <c r="AD10" s="25" t="e">
        <f t="shared" si="4"/>
        <v>#VALUE!</v>
      </c>
      <c r="AE10" s="25" t="e">
        <f t="shared" si="4"/>
        <v>#VALUE!</v>
      </c>
      <c r="AF10" s="25" t="e">
        <f t="shared" si="4"/>
        <v>#VALUE!</v>
      </c>
      <c r="AG10" s="25" t="e">
        <f t="shared" si="4"/>
        <v>#VALUE!</v>
      </c>
      <c r="AH10" s="25" t="e">
        <f t="shared" si="4"/>
        <v>#VALUE!</v>
      </c>
      <c r="AI10" s="25" t="e">
        <f t="shared" si="4"/>
        <v>#VALUE!</v>
      </c>
      <c r="AJ10" s="25" t="e">
        <f t="shared" si="4"/>
        <v>#VALUE!</v>
      </c>
      <c r="AK10" s="25" t="e">
        <f t="shared" si="4"/>
        <v>#VALUE!</v>
      </c>
      <c r="AL10" s="25" t="e">
        <f t="shared" si="4"/>
        <v>#VALUE!</v>
      </c>
      <c r="AM10" s="25" t="e">
        <f t="shared" si="4"/>
        <v>#VALUE!</v>
      </c>
      <c r="AN10" s="25" t="e">
        <f t="shared" si="4"/>
        <v>#VALUE!</v>
      </c>
      <c r="AO10" s="25" t="e">
        <f t="shared" si="4"/>
        <v>#VALUE!</v>
      </c>
      <c r="AP10" s="25" t="e">
        <f t="shared" si="4"/>
        <v>#VALUE!</v>
      </c>
      <c r="AQ10" s="25" t="e">
        <f t="shared" si="4"/>
        <v>#VALUE!</v>
      </c>
      <c r="AR10" s="25" t="e">
        <f t="shared" si="4"/>
        <v>#VALUE!</v>
      </c>
      <c r="AS10" s="25" t="e">
        <f t="shared" si="4"/>
        <v>#VALUE!</v>
      </c>
      <c r="AT10" s="25" t="e">
        <f t="shared" si="4"/>
        <v>#VALUE!</v>
      </c>
      <c r="AU10" s="25" t="e">
        <f t="shared" si="4"/>
        <v>#VALUE!</v>
      </c>
      <c r="AV10" s="25" t="e">
        <f t="shared" si="4"/>
        <v>#VALUE!</v>
      </c>
      <c r="AW10" s="25" t="e">
        <f t="shared" si="4"/>
        <v>#VALUE!</v>
      </c>
      <c r="AX10" s="25" t="e">
        <f t="shared" si="4"/>
        <v>#VALUE!</v>
      </c>
      <c r="AY10" s="25" t="e">
        <f t="shared" si="4"/>
        <v>#VALUE!</v>
      </c>
      <c r="AZ10" s="25" t="e">
        <f t="shared" si="4"/>
        <v>#VALUE!</v>
      </c>
      <c r="BA10" s="25" t="e">
        <f t="shared" ref="BA10:DB10" si="5">DATE(YEAR(BA6),7,21)</f>
        <v>#VALUE!</v>
      </c>
      <c r="BB10" s="25" t="e">
        <f t="shared" si="5"/>
        <v>#VALUE!</v>
      </c>
      <c r="BC10" s="25" t="e">
        <f t="shared" si="5"/>
        <v>#VALUE!</v>
      </c>
      <c r="BD10" s="25" t="e">
        <f t="shared" si="5"/>
        <v>#VALUE!</v>
      </c>
      <c r="BE10" s="25" t="e">
        <f t="shared" si="5"/>
        <v>#VALUE!</v>
      </c>
      <c r="BF10" s="25" t="e">
        <f t="shared" si="5"/>
        <v>#VALUE!</v>
      </c>
      <c r="BG10" s="25" t="e">
        <f t="shared" si="5"/>
        <v>#VALUE!</v>
      </c>
      <c r="BH10" s="25" t="e">
        <f t="shared" si="5"/>
        <v>#VALUE!</v>
      </c>
      <c r="BI10" s="25" t="e">
        <f t="shared" si="5"/>
        <v>#VALUE!</v>
      </c>
      <c r="BJ10" s="25" t="e">
        <f t="shared" si="5"/>
        <v>#VALUE!</v>
      </c>
      <c r="BK10" s="25" t="e">
        <f t="shared" si="5"/>
        <v>#VALUE!</v>
      </c>
      <c r="BL10" s="25" t="e">
        <f t="shared" si="5"/>
        <v>#VALUE!</v>
      </c>
      <c r="BM10" s="25" t="e">
        <f t="shared" si="5"/>
        <v>#VALUE!</v>
      </c>
      <c r="BN10" s="25" t="e">
        <f t="shared" si="5"/>
        <v>#VALUE!</v>
      </c>
      <c r="BO10" s="25" t="e">
        <f t="shared" si="5"/>
        <v>#VALUE!</v>
      </c>
      <c r="BP10" s="25" t="e">
        <f t="shared" si="5"/>
        <v>#VALUE!</v>
      </c>
      <c r="BQ10" s="25" t="e">
        <f t="shared" si="5"/>
        <v>#VALUE!</v>
      </c>
      <c r="BR10" s="25" t="e">
        <f t="shared" si="5"/>
        <v>#VALUE!</v>
      </c>
      <c r="BS10" s="25" t="e">
        <f t="shared" si="5"/>
        <v>#VALUE!</v>
      </c>
      <c r="BT10" s="25" t="e">
        <f t="shared" si="5"/>
        <v>#VALUE!</v>
      </c>
      <c r="BU10" s="25" t="e">
        <f t="shared" si="5"/>
        <v>#VALUE!</v>
      </c>
      <c r="BV10" s="25" t="e">
        <f t="shared" si="5"/>
        <v>#VALUE!</v>
      </c>
      <c r="BW10" s="25" t="e">
        <f t="shared" si="5"/>
        <v>#VALUE!</v>
      </c>
      <c r="BX10" s="25" t="e">
        <f t="shared" si="5"/>
        <v>#VALUE!</v>
      </c>
      <c r="BY10" s="25" t="e">
        <f t="shared" si="5"/>
        <v>#VALUE!</v>
      </c>
      <c r="BZ10" s="25" t="e">
        <f t="shared" si="5"/>
        <v>#VALUE!</v>
      </c>
      <c r="CA10" s="25" t="e">
        <f t="shared" si="5"/>
        <v>#VALUE!</v>
      </c>
      <c r="CB10" s="25" t="e">
        <f t="shared" si="5"/>
        <v>#VALUE!</v>
      </c>
      <c r="CC10" s="25" t="e">
        <f t="shared" si="5"/>
        <v>#VALUE!</v>
      </c>
      <c r="CD10" s="25" t="e">
        <f t="shared" si="5"/>
        <v>#VALUE!</v>
      </c>
      <c r="CE10" s="25" t="e">
        <f t="shared" si="5"/>
        <v>#VALUE!</v>
      </c>
      <c r="CF10" s="25" t="e">
        <f t="shared" si="5"/>
        <v>#VALUE!</v>
      </c>
      <c r="CG10" s="25" t="e">
        <f t="shared" si="5"/>
        <v>#VALUE!</v>
      </c>
      <c r="CH10" s="25" t="e">
        <f t="shared" si="5"/>
        <v>#VALUE!</v>
      </c>
      <c r="CI10" s="25" t="e">
        <f t="shared" si="5"/>
        <v>#VALUE!</v>
      </c>
      <c r="CJ10" s="25" t="e">
        <f t="shared" si="5"/>
        <v>#VALUE!</v>
      </c>
      <c r="CK10" s="25" t="e">
        <f t="shared" si="5"/>
        <v>#VALUE!</v>
      </c>
      <c r="CL10" s="25" t="e">
        <f t="shared" si="5"/>
        <v>#VALUE!</v>
      </c>
      <c r="CM10" s="25" t="e">
        <f t="shared" si="5"/>
        <v>#VALUE!</v>
      </c>
      <c r="CN10" s="25" t="e">
        <f t="shared" si="5"/>
        <v>#VALUE!</v>
      </c>
      <c r="CO10" s="25" t="e">
        <f t="shared" si="5"/>
        <v>#VALUE!</v>
      </c>
      <c r="CP10" s="25" t="e">
        <f t="shared" si="5"/>
        <v>#VALUE!</v>
      </c>
      <c r="CQ10" s="25" t="e">
        <f t="shared" si="5"/>
        <v>#VALUE!</v>
      </c>
      <c r="CR10" s="25" t="e">
        <f t="shared" si="5"/>
        <v>#VALUE!</v>
      </c>
      <c r="CS10" s="25" t="e">
        <f t="shared" si="5"/>
        <v>#VALUE!</v>
      </c>
      <c r="CT10" s="25" t="e">
        <f t="shared" si="5"/>
        <v>#VALUE!</v>
      </c>
      <c r="CU10" s="25" t="e">
        <f t="shared" si="5"/>
        <v>#VALUE!</v>
      </c>
      <c r="CV10" s="25" t="e">
        <f t="shared" si="5"/>
        <v>#VALUE!</v>
      </c>
      <c r="CW10" s="25" t="e">
        <f t="shared" si="5"/>
        <v>#VALUE!</v>
      </c>
      <c r="CX10" s="25" t="e">
        <f t="shared" si="5"/>
        <v>#VALUE!</v>
      </c>
      <c r="CY10" s="25" t="e">
        <f t="shared" si="5"/>
        <v>#VALUE!</v>
      </c>
      <c r="CZ10" s="25" t="e">
        <f t="shared" si="5"/>
        <v>#VALUE!</v>
      </c>
      <c r="DA10" s="25" t="e">
        <f t="shared" si="5"/>
        <v>#VALUE!</v>
      </c>
      <c r="DB10" s="25" t="e">
        <f t="shared" si="5"/>
        <v>#VALUE!</v>
      </c>
    </row>
    <row r="11" spans="1:106" ht="27" customHeight="1">
      <c r="A11" s="34"/>
      <c r="B11" s="139"/>
      <c r="C11" s="139"/>
      <c r="D11" s="139"/>
      <c r="E11" s="36" t="str">
        <f>IF(AND(Demande!L71=TRUE,Demande!L81=TRUE),"Réception plans par commune","")</f>
        <v/>
      </c>
      <c r="F11" s="36" t="str">
        <f>IF(AND(Demande!L71=TRUE,Demande!L81=TRUE),"Réception des plans par le FT","")</f>
        <v/>
      </c>
      <c r="G11" s="36" t="str">
        <f>IF(AND(Demande!L71=TRUE,Demande!L81=TRUE),"Complet","")</f>
        <v/>
      </c>
      <c r="P11" s="26">
        <v>37483</v>
      </c>
      <c r="Q11" s="25" t="e">
        <f t="shared" ref="Q11:AZ11" si="6">DATE(YEAR(Q6),8,15)</f>
        <v>#VALUE!</v>
      </c>
      <c r="R11" s="25" t="e">
        <f t="shared" si="6"/>
        <v>#VALUE!</v>
      </c>
      <c r="S11" s="25" t="e">
        <f t="shared" si="6"/>
        <v>#VALUE!</v>
      </c>
      <c r="T11" s="25" t="e">
        <f t="shared" si="6"/>
        <v>#VALUE!</v>
      </c>
      <c r="U11" s="25" t="e">
        <f t="shared" si="6"/>
        <v>#VALUE!</v>
      </c>
      <c r="V11" s="25" t="e">
        <f t="shared" si="6"/>
        <v>#VALUE!</v>
      </c>
      <c r="W11" s="25" t="e">
        <f t="shared" si="6"/>
        <v>#VALUE!</v>
      </c>
      <c r="X11" s="25" t="e">
        <f t="shared" si="6"/>
        <v>#VALUE!</v>
      </c>
      <c r="Y11" s="25" t="e">
        <f t="shared" si="6"/>
        <v>#VALUE!</v>
      </c>
      <c r="Z11" s="25" t="e">
        <f t="shared" si="6"/>
        <v>#VALUE!</v>
      </c>
      <c r="AA11" s="25" t="e">
        <f t="shared" si="6"/>
        <v>#VALUE!</v>
      </c>
      <c r="AB11" s="25" t="e">
        <f t="shared" si="6"/>
        <v>#VALUE!</v>
      </c>
      <c r="AC11" s="25" t="e">
        <f t="shared" si="6"/>
        <v>#VALUE!</v>
      </c>
      <c r="AD11" s="25" t="e">
        <f t="shared" si="6"/>
        <v>#VALUE!</v>
      </c>
      <c r="AE11" s="25" t="e">
        <f t="shared" si="6"/>
        <v>#VALUE!</v>
      </c>
      <c r="AF11" s="25" t="e">
        <f t="shared" si="6"/>
        <v>#VALUE!</v>
      </c>
      <c r="AG11" s="25" t="e">
        <f t="shared" si="6"/>
        <v>#VALUE!</v>
      </c>
      <c r="AH11" s="25" t="e">
        <f t="shared" si="6"/>
        <v>#VALUE!</v>
      </c>
      <c r="AI11" s="25" t="e">
        <f t="shared" si="6"/>
        <v>#VALUE!</v>
      </c>
      <c r="AJ11" s="25" t="e">
        <f t="shared" si="6"/>
        <v>#VALUE!</v>
      </c>
      <c r="AK11" s="25" t="e">
        <f t="shared" si="6"/>
        <v>#VALUE!</v>
      </c>
      <c r="AL11" s="25" t="e">
        <f t="shared" si="6"/>
        <v>#VALUE!</v>
      </c>
      <c r="AM11" s="25" t="e">
        <f t="shared" si="6"/>
        <v>#VALUE!</v>
      </c>
      <c r="AN11" s="25" t="e">
        <f t="shared" si="6"/>
        <v>#VALUE!</v>
      </c>
      <c r="AO11" s="25" t="e">
        <f t="shared" si="6"/>
        <v>#VALUE!</v>
      </c>
      <c r="AP11" s="25" t="e">
        <f t="shared" si="6"/>
        <v>#VALUE!</v>
      </c>
      <c r="AQ11" s="25" t="e">
        <f t="shared" si="6"/>
        <v>#VALUE!</v>
      </c>
      <c r="AR11" s="25" t="e">
        <f t="shared" si="6"/>
        <v>#VALUE!</v>
      </c>
      <c r="AS11" s="25" t="e">
        <f t="shared" si="6"/>
        <v>#VALUE!</v>
      </c>
      <c r="AT11" s="25" t="e">
        <f t="shared" si="6"/>
        <v>#VALUE!</v>
      </c>
      <c r="AU11" s="25" t="e">
        <f t="shared" si="6"/>
        <v>#VALUE!</v>
      </c>
      <c r="AV11" s="25" t="e">
        <f t="shared" si="6"/>
        <v>#VALUE!</v>
      </c>
      <c r="AW11" s="25" t="e">
        <f t="shared" si="6"/>
        <v>#VALUE!</v>
      </c>
      <c r="AX11" s="25" t="e">
        <f t="shared" si="6"/>
        <v>#VALUE!</v>
      </c>
      <c r="AY11" s="25" t="e">
        <f t="shared" si="6"/>
        <v>#VALUE!</v>
      </c>
      <c r="AZ11" s="25" t="e">
        <f t="shared" si="6"/>
        <v>#VALUE!</v>
      </c>
      <c r="BA11" s="25" t="e">
        <f t="shared" ref="BA11:DB11" si="7">DATE(YEAR(BA6),8,15)</f>
        <v>#VALUE!</v>
      </c>
      <c r="BB11" s="25" t="e">
        <f t="shared" si="7"/>
        <v>#VALUE!</v>
      </c>
      <c r="BC11" s="25" t="e">
        <f t="shared" si="7"/>
        <v>#VALUE!</v>
      </c>
      <c r="BD11" s="25" t="e">
        <f t="shared" si="7"/>
        <v>#VALUE!</v>
      </c>
      <c r="BE11" s="25" t="e">
        <f t="shared" si="7"/>
        <v>#VALUE!</v>
      </c>
      <c r="BF11" s="25" t="e">
        <f t="shared" si="7"/>
        <v>#VALUE!</v>
      </c>
      <c r="BG11" s="25" t="e">
        <f t="shared" si="7"/>
        <v>#VALUE!</v>
      </c>
      <c r="BH11" s="25" t="e">
        <f t="shared" si="7"/>
        <v>#VALUE!</v>
      </c>
      <c r="BI11" s="25" t="e">
        <f t="shared" si="7"/>
        <v>#VALUE!</v>
      </c>
      <c r="BJ11" s="25" t="e">
        <f t="shared" si="7"/>
        <v>#VALUE!</v>
      </c>
      <c r="BK11" s="25" t="e">
        <f t="shared" si="7"/>
        <v>#VALUE!</v>
      </c>
      <c r="BL11" s="25" t="e">
        <f t="shared" si="7"/>
        <v>#VALUE!</v>
      </c>
      <c r="BM11" s="25" t="e">
        <f t="shared" si="7"/>
        <v>#VALUE!</v>
      </c>
      <c r="BN11" s="25" t="e">
        <f t="shared" si="7"/>
        <v>#VALUE!</v>
      </c>
      <c r="BO11" s="25" t="e">
        <f t="shared" si="7"/>
        <v>#VALUE!</v>
      </c>
      <c r="BP11" s="25" t="e">
        <f t="shared" si="7"/>
        <v>#VALUE!</v>
      </c>
      <c r="BQ11" s="25" t="e">
        <f t="shared" si="7"/>
        <v>#VALUE!</v>
      </c>
      <c r="BR11" s="25" t="e">
        <f t="shared" si="7"/>
        <v>#VALUE!</v>
      </c>
      <c r="BS11" s="25" t="e">
        <f t="shared" si="7"/>
        <v>#VALUE!</v>
      </c>
      <c r="BT11" s="25" t="e">
        <f t="shared" si="7"/>
        <v>#VALUE!</v>
      </c>
      <c r="BU11" s="25" t="e">
        <f t="shared" si="7"/>
        <v>#VALUE!</v>
      </c>
      <c r="BV11" s="25" t="e">
        <f t="shared" si="7"/>
        <v>#VALUE!</v>
      </c>
      <c r="BW11" s="25" t="e">
        <f t="shared" si="7"/>
        <v>#VALUE!</v>
      </c>
      <c r="BX11" s="25" t="e">
        <f t="shared" si="7"/>
        <v>#VALUE!</v>
      </c>
      <c r="BY11" s="25" t="e">
        <f t="shared" si="7"/>
        <v>#VALUE!</v>
      </c>
      <c r="BZ11" s="25" t="e">
        <f t="shared" si="7"/>
        <v>#VALUE!</v>
      </c>
      <c r="CA11" s="25" t="e">
        <f t="shared" si="7"/>
        <v>#VALUE!</v>
      </c>
      <c r="CB11" s="25" t="e">
        <f t="shared" si="7"/>
        <v>#VALUE!</v>
      </c>
      <c r="CC11" s="25" t="e">
        <f t="shared" si="7"/>
        <v>#VALUE!</v>
      </c>
      <c r="CD11" s="25" t="e">
        <f t="shared" si="7"/>
        <v>#VALUE!</v>
      </c>
      <c r="CE11" s="25" t="e">
        <f t="shared" si="7"/>
        <v>#VALUE!</v>
      </c>
      <c r="CF11" s="25" t="e">
        <f t="shared" si="7"/>
        <v>#VALUE!</v>
      </c>
      <c r="CG11" s="25" t="e">
        <f t="shared" si="7"/>
        <v>#VALUE!</v>
      </c>
      <c r="CH11" s="25" t="e">
        <f t="shared" si="7"/>
        <v>#VALUE!</v>
      </c>
      <c r="CI11" s="25" t="e">
        <f t="shared" si="7"/>
        <v>#VALUE!</v>
      </c>
      <c r="CJ11" s="25" t="e">
        <f t="shared" si="7"/>
        <v>#VALUE!</v>
      </c>
      <c r="CK11" s="25" t="e">
        <f t="shared" si="7"/>
        <v>#VALUE!</v>
      </c>
      <c r="CL11" s="25" t="e">
        <f t="shared" si="7"/>
        <v>#VALUE!</v>
      </c>
      <c r="CM11" s="25" t="e">
        <f t="shared" si="7"/>
        <v>#VALUE!</v>
      </c>
      <c r="CN11" s="25" t="e">
        <f t="shared" si="7"/>
        <v>#VALUE!</v>
      </c>
      <c r="CO11" s="25" t="e">
        <f t="shared" si="7"/>
        <v>#VALUE!</v>
      </c>
      <c r="CP11" s="25" t="e">
        <f t="shared" si="7"/>
        <v>#VALUE!</v>
      </c>
      <c r="CQ11" s="25" t="e">
        <f t="shared" si="7"/>
        <v>#VALUE!</v>
      </c>
      <c r="CR11" s="25" t="e">
        <f t="shared" si="7"/>
        <v>#VALUE!</v>
      </c>
      <c r="CS11" s="25" t="e">
        <f t="shared" si="7"/>
        <v>#VALUE!</v>
      </c>
      <c r="CT11" s="25" t="e">
        <f t="shared" si="7"/>
        <v>#VALUE!</v>
      </c>
      <c r="CU11" s="25" t="e">
        <f t="shared" si="7"/>
        <v>#VALUE!</v>
      </c>
      <c r="CV11" s="25" t="e">
        <f t="shared" si="7"/>
        <v>#VALUE!</v>
      </c>
      <c r="CW11" s="25" t="e">
        <f t="shared" si="7"/>
        <v>#VALUE!</v>
      </c>
      <c r="CX11" s="25" t="e">
        <f t="shared" si="7"/>
        <v>#VALUE!</v>
      </c>
      <c r="CY11" s="25" t="e">
        <f t="shared" si="7"/>
        <v>#VALUE!</v>
      </c>
      <c r="CZ11" s="25" t="e">
        <f t="shared" si="7"/>
        <v>#VALUE!</v>
      </c>
      <c r="DA11" s="25" t="e">
        <f t="shared" si="7"/>
        <v>#VALUE!</v>
      </c>
      <c r="DB11" s="25" t="e">
        <f t="shared" si="7"/>
        <v>#VALUE!</v>
      </c>
    </row>
    <row r="12" spans="1:106" ht="15" customHeight="1">
      <c r="A12" s="37" t="s">
        <v>34</v>
      </c>
      <c r="B12" s="139"/>
      <c r="C12" s="139"/>
      <c r="D12" s="139"/>
      <c r="E12" s="160"/>
      <c r="F12" s="40"/>
      <c r="G12" s="41" t="str">
        <f>IF(AND(Demande!L81=TRUE,F17&lt;&gt;""),Demande!M7+W67,"")</f>
        <v/>
      </c>
      <c r="P12" s="26">
        <v>37561</v>
      </c>
      <c r="Q12" s="25" t="e">
        <f t="shared" ref="Q12:AZ12" si="8">DATE(YEAR(Q6),11,1)</f>
        <v>#VALUE!</v>
      </c>
      <c r="R12" s="25" t="e">
        <f t="shared" si="8"/>
        <v>#VALUE!</v>
      </c>
      <c r="S12" s="25" t="e">
        <f t="shared" si="8"/>
        <v>#VALUE!</v>
      </c>
      <c r="T12" s="25" t="e">
        <f t="shared" si="8"/>
        <v>#VALUE!</v>
      </c>
      <c r="U12" s="25" t="e">
        <f t="shared" si="8"/>
        <v>#VALUE!</v>
      </c>
      <c r="V12" s="25" t="e">
        <f t="shared" si="8"/>
        <v>#VALUE!</v>
      </c>
      <c r="W12" s="25" t="e">
        <f t="shared" si="8"/>
        <v>#VALUE!</v>
      </c>
      <c r="X12" s="25" t="e">
        <f t="shared" si="8"/>
        <v>#VALUE!</v>
      </c>
      <c r="Y12" s="25" t="e">
        <f t="shared" si="8"/>
        <v>#VALUE!</v>
      </c>
      <c r="Z12" s="25" t="e">
        <f t="shared" si="8"/>
        <v>#VALUE!</v>
      </c>
      <c r="AA12" s="25" t="e">
        <f t="shared" si="8"/>
        <v>#VALUE!</v>
      </c>
      <c r="AB12" s="25" t="e">
        <f t="shared" si="8"/>
        <v>#VALUE!</v>
      </c>
      <c r="AC12" s="25" t="e">
        <f t="shared" si="8"/>
        <v>#VALUE!</v>
      </c>
      <c r="AD12" s="25" t="e">
        <f t="shared" si="8"/>
        <v>#VALUE!</v>
      </c>
      <c r="AE12" s="25" t="e">
        <f t="shared" si="8"/>
        <v>#VALUE!</v>
      </c>
      <c r="AF12" s="25" t="e">
        <f t="shared" si="8"/>
        <v>#VALUE!</v>
      </c>
      <c r="AG12" s="25" t="e">
        <f t="shared" si="8"/>
        <v>#VALUE!</v>
      </c>
      <c r="AH12" s="25" t="e">
        <f t="shared" si="8"/>
        <v>#VALUE!</v>
      </c>
      <c r="AI12" s="25" t="e">
        <f t="shared" si="8"/>
        <v>#VALUE!</v>
      </c>
      <c r="AJ12" s="25" t="e">
        <f t="shared" si="8"/>
        <v>#VALUE!</v>
      </c>
      <c r="AK12" s="25" t="e">
        <f t="shared" si="8"/>
        <v>#VALUE!</v>
      </c>
      <c r="AL12" s="25" t="e">
        <f t="shared" si="8"/>
        <v>#VALUE!</v>
      </c>
      <c r="AM12" s="25" t="e">
        <f t="shared" si="8"/>
        <v>#VALUE!</v>
      </c>
      <c r="AN12" s="25" t="e">
        <f t="shared" si="8"/>
        <v>#VALUE!</v>
      </c>
      <c r="AO12" s="25" t="e">
        <f t="shared" si="8"/>
        <v>#VALUE!</v>
      </c>
      <c r="AP12" s="25" t="e">
        <f t="shared" si="8"/>
        <v>#VALUE!</v>
      </c>
      <c r="AQ12" s="25" t="e">
        <f t="shared" si="8"/>
        <v>#VALUE!</v>
      </c>
      <c r="AR12" s="25" t="e">
        <f t="shared" si="8"/>
        <v>#VALUE!</v>
      </c>
      <c r="AS12" s="25" t="e">
        <f t="shared" si="8"/>
        <v>#VALUE!</v>
      </c>
      <c r="AT12" s="25" t="e">
        <f t="shared" si="8"/>
        <v>#VALUE!</v>
      </c>
      <c r="AU12" s="25" t="e">
        <f t="shared" si="8"/>
        <v>#VALUE!</v>
      </c>
      <c r="AV12" s="25" t="e">
        <f t="shared" si="8"/>
        <v>#VALUE!</v>
      </c>
      <c r="AW12" s="25" t="e">
        <f t="shared" si="8"/>
        <v>#VALUE!</v>
      </c>
      <c r="AX12" s="25" t="e">
        <f t="shared" si="8"/>
        <v>#VALUE!</v>
      </c>
      <c r="AY12" s="25" t="e">
        <f t="shared" si="8"/>
        <v>#VALUE!</v>
      </c>
      <c r="AZ12" s="25" t="e">
        <f t="shared" si="8"/>
        <v>#VALUE!</v>
      </c>
      <c r="BA12" s="25" t="e">
        <f t="shared" ref="BA12:DB12" si="9">DATE(YEAR(BA6),11,1)</f>
        <v>#VALUE!</v>
      </c>
      <c r="BB12" s="25" t="e">
        <f t="shared" si="9"/>
        <v>#VALUE!</v>
      </c>
      <c r="BC12" s="25" t="e">
        <f t="shared" si="9"/>
        <v>#VALUE!</v>
      </c>
      <c r="BD12" s="25" t="e">
        <f t="shared" si="9"/>
        <v>#VALUE!</v>
      </c>
      <c r="BE12" s="25" t="e">
        <f t="shared" si="9"/>
        <v>#VALUE!</v>
      </c>
      <c r="BF12" s="25" t="e">
        <f t="shared" si="9"/>
        <v>#VALUE!</v>
      </c>
      <c r="BG12" s="25" t="e">
        <f t="shared" si="9"/>
        <v>#VALUE!</v>
      </c>
      <c r="BH12" s="25" t="e">
        <f t="shared" si="9"/>
        <v>#VALUE!</v>
      </c>
      <c r="BI12" s="25" t="e">
        <f t="shared" si="9"/>
        <v>#VALUE!</v>
      </c>
      <c r="BJ12" s="25" t="e">
        <f t="shared" si="9"/>
        <v>#VALUE!</v>
      </c>
      <c r="BK12" s="25" t="e">
        <f t="shared" si="9"/>
        <v>#VALUE!</v>
      </c>
      <c r="BL12" s="25" t="e">
        <f t="shared" si="9"/>
        <v>#VALUE!</v>
      </c>
      <c r="BM12" s="25" t="e">
        <f t="shared" si="9"/>
        <v>#VALUE!</v>
      </c>
      <c r="BN12" s="25" t="e">
        <f t="shared" si="9"/>
        <v>#VALUE!</v>
      </c>
      <c r="BO12" s="25" t="e">
        <f t="shared" si="9"/>
        <v>#VALUE!</v>
      </c>
      <c r="BP12" s="25" t="e">
        <f t="shared" si="9"/>
        <v>#VALUE!</v>
      </c>
      <c r="BQ12" s="25" t="e">
        <f t="shared" si="9"/>
        <v>#VALUE!</v>
      </c>
      <c r="BR12" s="25" t="e">
        <f t="shared" si="9"/>
        <v>#VALUE!</v>
      </c>
      <c r="BS12" s="25" t="e">
        <f t="shared" si="9"/>
        <v>#VALUE!</v>
      </c>
      <c r="BT12" s="25" t="e">
        <f t="shared" si="9"/>
        <v>#VALUE!</v>
      </c>
      <c r="BU12" s="25" t="e">
        <f t="shared" si="9"/>
        <v>#VALUE!</v>
      </c>
      <c r="BV12" s="25" t="e">
        <f t="shared" si="9"/>
        <v>#VALUE!</v>
      </c>
      <c r="BW12" s="25" t="e">
        <f t="shared" si="9"/>
        <v>#VALUE!</v>
      </c>
      <c r="BX12" s="25" t="e">
        <f t="shared" si="9"/>
        <v>#VALUE!</v>
      </c>
      <c r="BY12" s="25" t="e">
        <f t="shared" si="9"/>
        <v>#VALUE!</v>
      </c>
      <c r="BZ12" s="25" t="e">
        <f t="shared" si="9"/>
        <v>#VALUE!</v>
      </c>
      <c r="CA12" s="25" t="e">
        <f t="shared" si="9"/>
        <v>#VALUE!</v>
      </c>
      <c r="CB12" s="25" t="e">
        <f t="shared" si="9"/>
        <v>#VALUE!</v>
      </c>
      <c r="CC12" s="25" t="e">
        <f t="shared" si="9"/>
        <v>#VALUE!</v>
      </c>
      <c r="CD12" s="25" t="e">
        <f t="shared" si="9"/>
        <v>#VALUE!</v>
      </c>
      <c r="CE12" s="25" t="e">
        <f t="shared" si="9"/>
        <v>#VALUE!</v>
      </c>
      <c r="CF12" s="25" t="e">
        <f t="shared" si="9"/>
        <v>#VALUE!</v>
      </c>
      <c r="CG12" s="25" t="e">
        <f t="shared" si="9"/>
        <v>#VALUE!</v>
      </c>
      <c r="CH12" s="25" t="e">
        <f t="shared" si="9"/>
        <v>#VALUE!</v>
      </c>
      <c r="CI12" s="25" t="e">
        <f t="shared" si="9"/>
        <v>#VALUE!</v>
      </c>
      <c r="CJ12" s="25" t="e">
        <f t="shared" si="9"/>
        <v>#VALUE!</v>
      </c>
      <c r="CK12" s="25" t="e">
        <f t="shared" si="9"/>
        <v>#VALUE!</v>
      </c>
      <c r="CL12" s="25" t="e">
        <f t="shared" si="9"/>
        <v>#VALUE!</v>
      </c>
      <c r="CM12" s="25" t="e">
        <f t="shared" si="9"/>
        <v>#VALUE!</v>
      </c>
      <c r="CN12" s="25" t="e">
        <f t="shared" si="9"/>
        <v>#VALUE!</v>
      </c>
      <c r="CO12" s="25" t="e">
        <f t="shared" si="9"/>
        <v>#VALUE!</v>
      </c>
      <c r="CP12" s="25" t="e">
        <f t="shared" si="9"/>
        <v>#VALUE!</v>
      </c>
      <c r="CQ12" s="25" t="e">
        <f t="shared" si="9"/>
        <v>#VALUE!</v>
      </c>
      <c r="CR12" s="25" t="e">
        <f t="shared" si="9"/>
        <v>#VALUE!</v>
      </c>
      <c r="CS12" s="25" t="e">
        <f t="shared" si="9"/>
        <v>#VALUE!</v>
      </c>
      <c r="CT12" s="25" t="e">
        <f t="shared" si="9"/>
        <v>#VALUE!</v>
      </c>
      <c r="CU12" s="25" t="e">
        <f t="shared" si="9"/>
        <v>#VALUE!</v>
      </c>
      <c r="CV12" s="25" t="e">
        <f t="shared" si="9"/>
        <v>#VALUE!</v>
      </c>
      <c r="CW12" s="25" t="e">
        <f t="shared" si="9"/>
        <v>#VALUE!</v>
      </c>
      <c r="CX12" s="25" t="e">
        <f t="shared" si="9"/>
        <v>#VALUE!</v>
      </c>
      <c r="CY12" s="25" t="e">
        <f t="shared" si="9"/>
        <v>#VALUE!</v>
      </c>
      <c r="CZ12" s="25" t="e">
        <f t="shared" si="9"/>
        <v>#VALUE!</v>
      </c>
      <c r="DA12" s="25" t="e">
        <f t="shared" si="9"/>
        <v>#VALUE!</v>
      </c>
      <c r="DB12" s="25" t="e">
        <f t="shared" si="9"/>
        <v>#VALUE!</v>
      </c>
    </row>
    <row r="13" spans="1:106" ht="15" customHeight="1">
      <c r="A13" s="34" t="s">
        <v>37</v>
      </c>
      <c r="B13" s="139"/>
      <c r="C13" s="139"/>
      <c r="D13" s="139"/>
      <c r="E13" s="43"/>
      <c r="F13" s="43"/>
      <c r="G13" s="43" t="str">
        <f>IF(Demande!L81=TRUE,IF(G17&lt;&gt;"",G17-F17,""),"")</f>
        <v/>
      </c>
      <c r="I13" s="187"/>
      <c r="P13" s="26">
        <v>37571</v>
      </c>
      <c r="Q13" s="25" t="e">
        <f t="shared" ref="Q13:AZ13" si="10">DATE(YEAR(Q6),11,11)</f>
        <v>#VALUE!</v>
      </c>
      <c r="R13" s="25" t="e">
        <f t="shared" si="10"/>
        <v>#VALUE!</v>
      </c>
      <c r="S13" s="25" t="e">
        <f t="shared" si="10"/>
        <v>#VALUE!</v>
      </c>
      <c r="T13" s="25" t="e">
        <f t="shared" si="10"/>
        <v>#VALUE!</v>
      </c>
      <c r="U13" s="25" t="e">
        <f t="shared" si="10"/>
        <v>#VALUE!</v>
      </c>
      <c r="V13" s="25" t="e">
        <f t="shared" si="10"/>
        <v>#VALUE!</v>
      </c>
      <c r="W13" s="25" t="e">
        <f t="shared" si="10"/>
        <v>#VALUE!</v>
      </c>
      <c r="X13" s="25" t="e">
        <f t="shared" si="10"/>
        <v>#VALUE!</v>
      </c>
      <c r="Y13" s="25" t="e">
        <f t="shared" si="10"/>
        <v>#VALUE!</v>
      </c>
      <c r="Z13" s="25" t="e">
        <f t="shared" si="10"/>
        <v>#VALUE!</v>
      </c>
      <c r="AA13" s="25" t="e">
        <f t="shared" si="10"/>
        <v>#VALUE!</v>
      </c>
      <c r="AB13" s="25" t="e">
        <f t="shared" si="10"/>
        <v>#VALUE!</v>
      </c>
      <c r="AC13" s="25" t="e">
        <f t="shared" si="10"/>
        <v>#VALUE!</v>
      </c>
      <c r="AD13" s="25" t="e">
        <f t="shared" si="10"/>
        <v>#VALUE!</v>
      </c>
      <c r="AE13" s="25" t="e">
        <f t="shared" si="10"/>
        <v>#VALUE!</v>
      </c>
      <c r="AF13" s="25" t="e">
        <f t="shared" si="10"/>
        <v>#VALUE!</v>
      </c>
      <c r="AG13" s="25" t="e">
        <f t="shared" si="10"/>
        <v>#VALUE!</v>
      </c>
      <c r="AH13" s="25" t="e">
        <f t="shared" si="10"/>
        <v>#VALUE!</v>
      </c>
      <c r="AI13" s="25" t="e">
        <f t="shared" si="10"/>
        <v>#VALUE!</v>
      </c>
      <c r="AJ13" s="25" t="e">
        <f t="shared" si="10"/>
        <v>#VALUE!</v>
      </c>
      <c r="AK13" s="25" t="e">
        <f t="shared" si="10"/>
        <v>#VALUE!</v>
      </c>
      <c r="AL13" s="25" t="e">
        <f t="shared" si="10"/>
        <v>#VALUE!</v>
      </c>
      <c r="AM13" s="25" t="e">
        <f t="shared" si="10"/>
        <v>#VALUE!</v>
      </c>
      <c r="AN13" s="25" t="e">
        <f t="shared" si="10"/>
        <v>#VALUE!</v>
      </c>
      <c r="AO13" s="25" t="e">
        <f t="shared" si="10"/>
        <v>#VALUE!</v>
      </c>
      <c r="AP13" s="25" t="e">
        <f t="shared" si="10"/>
        <v>#VALUE!</v>
      </c>
      <c r="AQ13" s="25" t="e">
        <f t="shared" si="10"/>
        <v>#VALUE!</v>
      </c>
      <c r="AR13" s="25" t="e">
        <f t="shared" si="10"/>
        <v>#VALUE!</v>
      </c>
      <c r="AS13" s="25" t="e">
        <f t="shared" si="10"/>
        <v>#VALUE!</v>
      </c>
      <c r="AT13" s="25" t="e">
        <f t="shared" si="10"/>
        <v>#VALUE!</v>
      </c>
      <c r="AU13" s="25" t="e">
        <f t="shared" si="10"/>
        <v>#VALUE!</v>
      </c>
      <c r="AV13" s="25" t="e">
        <f t="shared" si="10"/>
        <v>#VALUE!</v>
      </c>
      <c r="AW13" s="25" t="e">
        <f t="shared" si="10"/>
        <v>#VALUE!</v>
      </c>
      <c r="AX13" s="25" t="e">
        <f t="shared" si="10"/>
        <v>#VALUE!</v>
      </c>
      <c r="AY13" s="25" t="e">
        <f t="shared" si="10"/>
        <v>#VALUE!</v>
      </c>
      <c r="AZ13" s="25" t="e">
        <f t="shared" si="10"/>
        <v>#VALUE!</v>
      </c>
      <c r="BA13" s="25" t="e">
        <f t="shared" ref="BA13:DB13" si="11">DATE(YEAR(BA6),11,11)</f>
        <v>#VALUE!</v>
      </c>
      <c r="BB13" s="25" t="e">
        <f t="shared" si="11"/>
        <v>#VALUE!</v>
      </c>
      <c r="BC13" s="25" t="e">
        <f t="shared" si="11"/>
        <v>#VALUE!</v>
      </c>
      <c r="BD13" s="25" t="e">
        <f t="shared" si="11"/>
        <v>#VALUE!</v>
      </c>
      <c r="BE13" s="25" t="e">
        <f t="shared" si="11"/>
        <v>#VALUE!</v>
      </c>
      <c r="BF13" s="25" t="e">
        <f t="shared" si="11"/>
        <v>#VALUE!</v>
      </c>
      <c r="BG13" s="25" t="e">
        <f t="shared" si="11"/>
        <v>#VALUE!</v>
      </c>
      <c r="BH13" s="25" t="e">
        <f t="shared" si="11"/>
        <v>#VALUE!</v>
      </c>
      <c r="BI13" s="25" t="e">
        <f t="shared" si="11"/>
        <v>#VALUE!</v>
      </c>
      <c r="BJ13" s="25" t="e">
        <f t="shared" si="11"/>
        <v>#VALUE!</v>
      </c>
      <c r="BK13" s="25" t="e">
        <f t="shared" si="11"/>
        <v>#VALUE!</v>
      </c>
      <c r="BL13" s="25" t="e">
        <f t="shared" si="11"/>
        <v>#VALUE!</v>
      </c>
      <c r="BM13" s="25" t="e">
        <f t="shared" si="11"/>
        <v>#VALUE!</v>
      </c>
      <c r="BN13" s="25" t="e">
        <f t="shared" si="11"/>
        <v>#VALUE!</v>
      </c>
      <c r="BO13" s="25" t="e">
        <f t="shared" si="11"/>
        <v>#VALUE!</v>
      </c>
      <c r="BP13" s="25" t="e">
        <f t="shared" si="11"/>
        <v>#VALUE!</v>
      </c>
      <c r="BQ13" s="25" t="e">
        <f t="shared" si="11"/>
        <v>#VALUE!</v>
      </c>
      <c r="BR13" s="25" t="e">
        <f t="shared" si="11"/>
        <v>#VALUE!</v>
      </c>
      <c r="BS13" s="25" t="e">
        <f t="shared" si="11"/>
        <v>#VALUE!</v>
      </c>
      <c r="BT13" s="25" t="e">
        <f t="shared" si="11"/>
        <v>#VALUE!</v>
      </c>
      <c r="BU13" s="25" t="e">
        <f t="shared" si="11"/>
        <v>#VALUE!</v>
      </c>
      <c r="BV13" s="25" t="e">
        <f t="shared" si="11"/>
        <v>#VALUE!</v>
      </c>
      <c r="BW13" s="25" t="e">
        <f t="shared" si="11"/>
        <v>#VALUE!</v>
      </c>
      <c r="BX13" s="25" t="e">
        <f t="shared" si="11"/>
        <v>#VALUE!</v>
      </c>
      <c r="BY13" s="25" t="e">
        <f t="shared" si="11"/>
        <v>#VALUE!</v>
      </c>
      <c r="BZ13" s="25" t="e">
        <f t="shared" si="11"/>
        <v>#VALUE!</v>
      </c>
      <c r="CA13" s="25" t="e">
        <f t="shared" si="11"/>
        <v>#VALUE!</v>
      </c>
      <c r="CB13" s="25" t="e">
        <f t="shared" si="11"/>
        <v>#VALUE!</v>
      </c>
      <c r="CC13" s="25" t="e">
        <f t="shared" si="11"/>
        <v>#VALUE!</v>
      </c>
      <c r="CD13" s="25" t="e">
        <f t="shared" si="11"/>
        <v>#VALUE!</v>
      </c>
      <c r="CE13" s="25" t="e">
        <f t="shared" si="11"/>
        <v>#VALUE!</v>
      </c>
      <c r="CF13" s="25" t="e">
        <f t="shared" si="11"/>
        <v>#VALUE!</v>
      </c>
      <c r="CG13" s="25" t="e">
        <f t="shared" si="11"/>
        <v>#VALUE!</v>
      </c>
      <c r="CH13" s="25" t="e">
        <f t="shared" si="11"/>
        <v>#VALUE!</v>
      </c>
      <c r="CI13" s="25" t="e">
        <f t="shared" si="11"/>
        <v>#VALUE!</v>
      </c>
      <c r="CJ13" s="25" t="e">
        <f t="shared" si="11"/>
        <v>#VALUE!</v>
      </c>
      <c r="CK13" s="25" t="e">
        <f t="shared" si="11"/>
        <v>#VALUE!</v>
      </c>
      <c r="CL13" s="25" t="e">
        <f t="shared" si="11"/>
        <v>#VALUE!</v>
      </c>
      <c r="CM13" s="25" t="e">
        <f t="shared" si="11"/>
        <v>#VALUE!</v>
      </c>
      <c r="CN13" s="25" t="e">
        <f t="shared" si="11"/>
        <v>#VALUE!</v>
      </c>
      <c r="CO13" s="25" t="e">
        <f t="shared" si="11"/>
        <v>#VALUE!</v>
      </c>
      <c r="CP13" s="25" t="e">
        <f t="shared" si="11"/>
        <v>#VALUE!</v>
      </c>
      <c r="CQ13" s="25" t="e">
        <f t="shared" si="11"/>
        <v>#VALUE!</v>
      </c>
      <c r="CR13" s="25" t="e">
        <f t="shared" si="11"/>
        <v>#VALUE!</v>
      </c>
      <c r="CS13" s="25" t="e">
        <f t="shared" si="11"/>
        <v>#VALUE!</v>
      </c>
      <c r="CT13" s="25" t="e">
        <f t="shared" si="11"/>
        <v>#VALUE!</v>
      </c>
      <c r="CU13" s="25" t="e">
        <f t="shared" si="11"/>
        <v>#VALUE!</v>
      </c>
      <c r="CV13" s="25" t="e">
        <f t="shared" si="11"/>
        <v>#VALUE!</v>
      </c>
      <c r="CW13" s="25" t="e">
        <f t="shared" si="11"/>
        <v>#VALUE!</v>
      </c>
      <c r="CX13" s="25" t="e">
        <f t="shared" si="11"/>
        <v>#VALUE!</v>
      </c>
      <c r="CY13" s="25" t="e">
        <f t="shared" si="11"/>
        <v>#VALUE!</v>
      </c>
      <c r="CZ13" s="25" t="e">
        <f t="shared" si="11"/>
        <v>#VALUE!</v>
      </c>
      <c r="DA13" s="25" t="e">
        <f t="shared" si="11"/>
        <v>#VALUE!</v>
      </c>
      <c r="DB13" s="25" t="e">
        <f t="shared" si="11"/>
        <v>#VALUE!</v>
      </c>
    </row>
    <row r="14" spans="1:106" ht="15" customHeight="1">
      <c r="A14" s="44" t="s">
        <v>40</v>
      </c>
      <c r="B14" s="139"/>
      <c r="C14" s="139"/>
      <c r="D14" s="139"/>
      <c r="E14" s="45"/>
      <c r="G14" s="46" t="str">
        <f>IF(Demande!L81=TRUE,IF(F17&lt;&gt;"",F17+G12,""),"")</f>
        <v/>
      </c>
      <c r="P14" s="26">
        <v>37615</v>
      </c>
      <c r="Q14" s="25" t="e">
        <f t="shared" ref="Q14:AZ14" si="12">DATE(YEAR(Q6),12,25)</f>
        <v>#VALUE!</v>
      </c>
      <c r="R14" s="25" t="e">
        <f t="shared" si="12"/>
        <v>#VALUE!</v>
      </c>
      <c r="S14" s="25" t="e">
        <f t="shared" si="12"/>
        <v>#VALUE!</v>
      </c>
      <c r="T14" s="25" t="e">
        <f t="shared" si="12"/>
        <v>#VALUE!</v>
      </c>
      <c r="U14" s="25" t="e">
        <f t="shared" si="12"/>
        <v>#VALUE!</v>
      </c>
      <c r="V14" s="25" t="e">
        <f t="shared" si="12"/>
        <v>#VALUE!</v>
      </c>
      <c r="W14" s="25" t="e">
        <f t="shared" si="12"/>
        <v>#VALUE!</v>
      </c>
      <c r="X14" s="25" t="e">
        <f t="shared" si="12"/>
        <v>#VALUE!</v>
      </c>
      <c r="Y14" s="25" t="e">
        <f t="shared" si="12"/>
        <v>#VALUE!</v>
      </c>
      <c r="Z14" s="25" t="e">
        <f t="shared" si="12"/>
        <v>#VALUE!</v>
      </c>
      <c r="AA14" s="25" t="e">
        <f t="shared" si="12"/>
        <v>#VALUE!</v>
      </c>
      <c r="AB14" s="25" t="e">
        <f t="shared" si="12"/>
        <v>#VALUE!</v>
      </c>
      <c r="AC14" s="25" t="e">
        <f t="shared" si="12"/>
        <v>#VALUE!</v>
      </c>
      <c r="AD14" s="25" t="e">
        <f t="shared" si="12"/>
        <v>#VALUE!</v>
      </c>
      <c r="AE14" s="25" t="e">
        <f t="shared" si="12"/>
        <v>#VALUE!</v>
      </c>
      <c r="AF14" s="25" t="e">
        <f t="shared" si="12"/>
        <v>#VALUE!</v>
      </c>
      <c r="AG14" s="25" t="e">
        <f t="shared" si="12"/>
        <v>#VALUE!</v>
      </c>
      <c r="AH14" s="25" t="e">
        <f t="shared" si="12"/>
        <v>#VALUE!</v>
      </c>
      <c r="AI14" s="25" t="e">
        <f t="shared" si="12"/>
        <v>#VALUE!</v>
      </c>
      <c r="AJ14" s="25" t="e">
        <f t="shared" si="12"/>
        <v>#VALUE!</v>
      </c>
      <c r="AK14" s="25" t="e">
        <f t="shared" si="12"/>
        <v>#VALUE!</v>
      </c>
      <c r="AL14" s="25" t="e">
        <f t="shared" si="12"/>
        <v>#VALUE!</v>
      </c>
      <c r="AM14" s="25" t="e">
        <f t="shared" si="12"/>
        <v>#VALUE!</v>
      </c>
      <c r="AN14" s="25" t="e">
        <f t="shared" si="12"/>
        <v>#VALUE!</v>
      </c>
      <c r="AO14" s="25" t="e">
        <f t="shared" si="12"/>
        <v>#VALUE!</v>
      </c>
      <c r="AP14" s="25" t="e">
        <f t="shared" si="12"/>
        <v>#VALUE!</v>
      </c>
      <c r="AQ14" s="25" t="e">
        <f t="shared" si="12"/>
        <v>#VALUE!</v>
      </c>
      <c r="AR14" s="25" t="e">
        <f t="shared" si="12"/>
        <v>#VALUE!</v>
      </c>
      <c r="AS14" s="25" t="e">
        <f t="shared" si="12"/>
        <v>#VALUE!</v>
      </c>
      <c r="AT14" s="25" t="e">
        <f t="shared" si="12"/>
        <v>#VALUE!</v>
      </c>
      <c r="AU14" s="25" t="e">
        <f t="shared" si="12"/>
        <v>#VALUE!</v>
      </c>
      <c r="AV14" s="25" t="e">
        <f t="shared" si="12"/>
        <v>#VALUE!</v>
      </c>
      <c r="AW14" s="25" t="e">
        <f t="shared" si="12"/>
        <v>#VALUE!</v>
      </c>
      <c r="AX14" s="25" t="e">
        <f t="shared" si="12"/>
        <v>#VALUE!</v>
      </c>
      <c r="AY14" s="25" t="e">
        <f t="shared" si="12"/>
        <v>#VALUE!</v>
      </c>
      <c r="AZ14" s="25" t="e">
        <f t="shared" si="12"/>
        <v>#VALUE!</v>
      </c>
      <c r="BA14" s="25" t="e">
        <f t="shared" ref="BA14:DB14" si="13">DATE(YEAR(BA6),12,25)</f>
        <v>#VALUE!</v>
      </c>
      <c r="BB14" s="25" t="e">
        <f t="shared" si="13"/>
        <v>#VALUE!</v>
      </c>
      <c r="BC14" s="25" t="e">
        <f t="shared" si="13"/>
        <v>#VALUE!</v>
      </c>
      <c r="BD14" s="25" t="e">
        <f t="shared" si="13"/>
        <v>#VALUE!</v>
      </c>
      <c r="BE14" s="25" t="e">
        <f t="shared" si="13"/>
        <v>#VALUE!</v>
      </c>
      <c r="BF14" s="25" t="e">
        <f t="shared" si="13"/>
        <v>#VALUE!</v>
      </c>
      <c r="BG14" s="25" t="e">
        <f t="shared" si="13"/>
        <v>#VALUE!</v>
      </c>
      <c r="BH14" s="25" t="e">
        <f t="shared" si="13"/>
        <v>#VALUE!</v>
      </c>
      <c r="BI14" s="25" t="e">
        <f t="shared" si="13"/>
        <v>#VALUE!</v>
      </c>
      <c r="BJ14" s="25" t="e">
        <f t="shared" si="13"/>
        <v>#VALUE!</v>
      </c>
      <c r="BK14" s="25" t="e">
        <f t="shared" si="13"/>
        <v>#VALUE!</v>
      </c>
      <c r="BL14" s="25" t="e">
        <f t="shared" si="13"/>
        <v>#VALUE!</v>
      </c>
      <c r="BM14" s="25" t="e">
        <f t="shared" si="13"/>
        <v>#VALUE!</v>
      </c>
      <c r="BN14" s="25" t="e">
        <f t="shared" si="13"/>
        <v>#VALUE!</v>
      </c>
      <c r="BO14" s="25" t="e">
        <f t="shared" si="13"/>
        <v>#VALUE!</v>
      </c>
      <c r="BP14" s="25" t="e">
        <f t="shared" si="13"/>
        <v>#VALUE!</v>
      </c>
      <c r="BQ14" s="25" t="e">
        <f t="shared" si="13"/>
        <v>#VALUE!</v>
      </c>
      <c r="BR14" s="25" t="e">
        <f t="shared" si="13"/>
        <v>#VALUE!</v>
      </c>
      <c r="BS14" s="25" t="e">
        <f t="shared" si="13"/>
        <v>#VALUE!</v>
      </c>
      <c r="BT14" s="25" t="e">
        <f t="shared" si="13"/>
        <v>#VALUE!</v>
      </c>
      <c r="BU14" s="25" t="e">
        <f t="shared" si="13"/>
        <v>#VALUE!</v>
      </c>
      <c r="BV14" s="25" t="e">
        <f t="shared" si="13"/>
        <v>#VALUE!</v>
      </c>
      <c r="BW14" s="25" t="e">
        <f t="shared" si="13"/>
        <v>#VALUE!</v>
      </c>
      <c r="BX14" s="25" t="e">
        <f t="shared" si="13"/>
        <v>#VALUE!</v>
      </c>
      <c r="BY14" s="25" t="e">
        <f t="shared" si="13"/>
        <v>#VALUE!</v>
      </c>
      <c r="BZ14" s="25" t="e">
        <f t="shared" si="13"/>
        <v>#VALUE!</v>
      </c>
      <c r="CA14" s="25" t="e">
        <f t="shared" si="13"/>
        <v>#VALUE!</v>
      </c>
      <c r="CB14" s="25" t="e">
        <f t="shared" si="13"/>
        <v>#VALUE!</v>
      </c>
      <c r="CC14" s="25" t="e">
        <f t="shared" si="13"/>
        <v>#VALUE!</v>
      </c>
      <c r="CD14" s="25" t="e">
        <f t="shared" si="13"/>
        <v>#VALUE!</v>
      </c>
      <c r="CE14" s="25" t="e">
        <f t="shared" si="13"/>
        <v>#VALUE!</v>
      </c>
      <c r="CF14" s="25" t="e">
        <f t="shared" si="13"/>
        <v>#VALUE!</v>
      </c>
      <c r="CG14" s="25" t="e">
        <f t="shared" si="13"/>
        <v>#VALUE!</v>
      </c>
      <c r="CH14" s="25" t="e">
        <f t="shared" si="13"/>
        <v>#VALUE!</v>
      </c>
      <c r="CI14" s="25" t="e">
        <f t="shared" si="13"/>
        <v>#VALUE!</v>
      </c>
      <c r="CJ14" s="25" t="e">
        <f t="shared" si="13"/>
        <v>#VALUE!</v>
      </c>
      <c r="CK14" s="25" t="e">
        <f t="shared" si="13"/>
        <v>#VALUE!</v>
      </c>
      <c r="CL14" s="25" t="e">
        <f t="shared" si="13"/>
        <v>#VALUE!</v>
      </c>
      <c r="CM14" s="25" t="e">
        <f t="shared" si="13"/>
        <v>#VALUE!</v>
      </c>
      <c r="CN14" s="25" t="e">
        <f t="shared" si="13"/>
        <v>#VALUE!</v>
      </c>
      <c r="CO14" s="25" t="e">
        <f t="shared" si="13"/>
        <v>#VALUE!</v>
      </c>
      <c r="CP14" s="25" t="e">
        <f t="shared" si="13"/>
        <v>#VALUE!</v>
      </c>
      <c r="CQ14" s="25" t="e">
        <f t="shared" si="13"/>
        <v>#VALUE!</v>
      </c>
      <c r="CR14" s="25" t="e">
        <f t="shared" si="13"/>
        <v>#VALUE!</v>
      </c>
      <c r="CS14" s="25" t="e">
        <f t="shared" si="13"/>
        <v>#VALUE!</v>
      </c>
      <c r="CT14" s="25" t="e">
        <f t="shared" si="13"/>
        <v>#VALUE!</v>
      </c>
      <c r="CU14" s="25" t="e">
        <f t="shared" si="13"/>
        <v>#VALUE!</v>
      </c>
      <c r="CV14" s="25" t="e">
        <f t="shared" si="13"/>
        <v>#VALUE!</v>
      </c>
      <c r="CW14" s="25" t="e">
        <f t="shared" si="13"/>
        <v>#VALUE!</v>
      </c>
      <c r="CX14" s="25" t="e">
        <f t="shared" si="13"/>
        <v>#VALUE!</v>
      </c>
      <c r="CY14" s="25" t="e">
        <f t="shared" si="13"/>
        <v>#VALUE!</v>
      </c>
      <c r="CZ14" s="25" t="e">
        <f t="shared" si="13"/>
        <v>#VALUE!</v>
      </c>
      <c r="DA14" s="25" t="e">
        <f t="shared" si="13"/>
        <v>#VALUE!</v>
      </c>
      <c r="DB14" s="25" t="e">
        <f t="shared" si="13"/>
        <v>#VALUE!</v>
      </c>
    </row>
    <row r="15" spans="1:106" ht="15" customHeight="1">
      <c r="A15" s="37" t="s">
        <v>44</v>
      </c>
      <c r="B15" s="139"/>
      <c r="C15" s="139"/>
      <c r="D15" s="139"/>
      <c r="E15" s="50" t="str">
        <f>IF(Demande!L81=TRUE,IF(E17&lt;&gt;"",E17,""),"")</f>
        <v/>
      </c>
      <c r="F15" s="52"/>
      <c r="G15" s="50" t="str">
        <f>IF(Demande!L81=TRUE,IF(G17&lt;&gt;"",IF(G17&gt;G14,G14+1,G17),G14),"")</f>
        <v/>
      </c>
      <c r="P15" s="49" t="s">
        <v>43</v>
      </c>
      <c r="Q15" s="48" t="e">
        <f t="shared" ref="Q15:AZ15" si="14">IF(Q6&lt;&gt;Q8,IF(Q6&lt;&gt;Q9,IF(Q6&lt;&gt;Q10,IF(Q6&lt;&gt;Q11,IF(Q6&lt;&gt;Q12,IF(Q6&lt;&gt;Q13,IF(Q6&lt;&gt;Q14,0,1),1),1),1),1),1),1)</f>
        <v>#VALUE!</v>
      </c>
      <c r="R15" s="48" t="e">
        <f t="shared" si="14"/>
        <v>#VALUE!</v>
      </c>
      <c r="S15" s="48" t="e">
        <f t="shared" si="14"/>
        <v>#VALUE!</v>
      </c>
      <c r="T15" s="48" t="e">
        <f t="shared" si="14"/>
        <v>#VALUE!</v>
      </c>
      <c r="U15" s="48" t="e">
        <f t="shared" si="14"/>
        <v>#VALUE!</v>
      </c>
      <c r="V15" s="48" t="e">
        <f t="shared" si="14"/>
        <v>#VALUE!</v>
      </c>
      <c r="W15" s="48" t="e">
        <f t="shared" si="14"/>
        <v>#VALUE!</v>
      </c>
      <c r="X15" s="48" t="e">
        <f t="shared" si="14"/>
        <v>#VALUE!</v>
      </c>
      <c r="Y15" s="48" t="e">
        <f t="shared" si="14"/>
        <v>#VALUE!</v>
      </c>
      <c r="Z15" s="48" t="e">
        <f t="shared" si="14"/>
        <v>#VALUE!</v>
      </c>
      <c r="AA15" s="48" t="e">
        <f t="shared" si="14"/>
        <v>#VALUE!</v>
      </c>
      <c r="AB15" s="48" t="e">
        <f t="shared" si="14"/>
        <v>#VALUE!</v>
      </c>
      <c r="AC15" s="48" t="e">
        <f t="shared" si="14"/>
        <v>#VALUE!</v>
      </c>
      <c r="AD15" s="48" t="e">
        <f t="shared" si="14"/>
        <v>#VALUE!</v>
      </c>
      <c r="AE15" s="48" t="e">
        <f t="shared" si="14"/>
        <v>#VALUE!</v>
      </c>
      <c r="AF15" s="48" t="e">
        <f t="shared" si="14"/>
        <v>#VALUE!</v>
      </c>
      <c r="AG15" s="48" t="e">
        <f t="shared" si="14"/>
        <v>#VALUE!</v>
      </c>
      <c r="AH15" s="48" t="e">
        <f t="shared" si="14"/>
        <v>#VALUE!</v>
      </c>
      <c r="AI15" s="48" t="e">
        <f t="shared" si="14"/>
        <v>#VALUE!</v>
      </c>
      <c r="AJ15" s="48" t="e">
        <f t="shared" si="14"/>
        <v>#VALUE!</v>
      </c>
      <c r="AK15" s="48" t="e">
        <f t="shared" si="14"/>
        <v>#VALUE!</v>
      </c>
      <c r="AL15" s="48" t="e">
        <f t="shared" si="14"/>
        <v>#VALUE!</v>
      </c>
      <c r="AM15" s="48" t="e">
        <f t="shared" si="14"/>
        <v>#VALUE!</v>
      </c>
      <c r="AN15" s="48" t="e">
        <f t="shared" si="14"/>
        <v>#VALUE!</v>
      </c>
      <c r="AO15" s="48" t="e">
        <f t="shared" si="14"/>
        <v>#VALUE!</v>
      </c>
      <c r="AP15" s="48" t="e">
        <f t="shared" si="14"/>
        <v>#VALUE!</v>
      </c>
      <c r="AQ15" s="48" t="e">
        <f t="shared" si="14"/>
        <v>#VALUE!</v>
      </c>
      <c r="AR15" s="48" t="e">
        <f t="shared" si="14"/>
        <v>#VALUE!</v>
      </c>
      <c r="AS15" s="48" t="e">
        <f t="shared" si="14"/>
        <v>#VALUE!</v>
      </c>
      <c r="AT15" s="48" t="e">
        <f t="shared" si="14"/>
        <v>#VALUE!</v>
      </c>
      <c r="AU15" s="48" t="e">
        <f t="shared" si="14"/>
        <v>#VALUE!</v>
      </c>
      <c r="AV15" s="48" t="e">
        <f t="shared" si="14"/>
        <v>#VALUE!</v>
      </c>
      <c r="AW15" s="48" t="e">
        <f t="shared" si="14"/>
        <v>#VALUE!</v>
      </c>
      <c r="AX15" s="48" t="e">
        <f t="shared" si="14"/>
        <v>#VALUE!</v>
      </c>
      <c r="AY15" s="48" t="e">
        <f t="shared" si="14"/>
        <v>#VALUE!</v>
      </c>
      <c r="AZ15" s="48" t="e">
        <f t="shared" si="14"/>
        <v>#VALUE!</v>
      </c>
      <c r="BA15" s="48" t="e">
        <f t="shared" ref="BA15:CF15" si="15">IF(BA6&lt;&gt;BA8,IF(BA6&lt;&gt;BA9,IF(BA6&lt;&gt;BA10,IF(BA6&lt;&gt;BA11,IF(BA6&lt;&gt;BA12,IF(BA6&lt;&gt;BA13,IF(BA6&lt;&gt;BA14,0,1),1),1),1),1),1),1)</f>
        <v>#VALUE!</v>
      </c>
      <c r="BB15" s="48" t="e">
        <f t="shared" si="15"/>
        <v>#VALUE!</v>
      </c>
      <c r="BC15" s="48" t="e">
        <f t="shared" si="15"/>
        <v>#VALUE!</v>
      </c>
      <c r="BD15" s="48" t="e">
        <f t="shared" si="15"/>
        <v>#VALUE!</v>
      </c>
      <c r="BE15" s="48" t="e">
        <f t="shared" si="15"/>
        <v>#VALUE!</v>
      </c>
      <c r="BF15" s="48" t="e">
        <f t="shared" si="15"/>
        <v>#VALUE!</v>
      </c>
      <c r="BG15" s="48" t="e">
        <f t="shared" si="15"/>
        <v>#VALUE!</v>
      </c>
      <c r="BH15" s="48" t="e">
        <f t="shared" si="15"/>
        <v>#VALUE!</v>
      </c>
      <c r="BI15" s="48" t="e">
        <f t="shared" si="15"/>
        <v>#VALUE!</v>
      </c>
      <c r="BJ15" s="48" t="e">
        <f t="shared" si="15"/>
        <v>#VALUE!</v>
      </c>
      <c r="BK15" s="48" t="e">
        <f t="shared" si="15"/>
        <v>#VALUE!</v>
      </c>
      <c r="BL15" s="48" t="e">
        <f t="shared" si="15"/>
        <v>#VALUE!</v>
      </c>
      <c r="BM15" s="48" t="e">
        <f t="shared" si="15"/>
        <v>#VALUE!</v>
      </c>
      <c r="BN15" s="48" t="e">
        <f t="shared" si="15"/>
        <v>#VALUE!</v>
      </c>
      <c r="BO15" s="48" t="e">
        <f t="shared" si="15"/>
        <v>#VALUE!</v>
      </c>
      <c r="BP15" s="48" t="e">
        <f t="shared" si="15"/>
        <v>#VALUE!</v>
      </c>
      <c r="BQ15" s="48" t="e">
        <f t="shared" si="15"/>
        <v>#VALUE!</v>
      </c>
      <c r="BR15" s="48" t="e">
        <f t="shared" si="15"/>
        <v>#VALUE!</v>
      </c>
      <c r="BS15" s="48" t="e">
        <f t="shared" si="15"/>
        <v>#VALUE!</v>
      </c>
      <c r="BT15" s="48" t="e">
        <f t="shared" si="15"/>
        <v>#VALUE!</v>
      </c>
      <c r="BU15" s="48" t="e">
        <f t="shared" si="15"/>
        <v>#VALUE!</v>
      </c>
      <c r="BV15" s="48" t="e">
        <f t="shared" si="15"/>
        <v>#VALUE!</v>
      </c>
      <c r="BW15" s="48" t="e">
        <f t="shared" si="15"/>
        <v>#VALUE!</v>
      </c>
      <c r="BX15" s="48" t="e">
        <f t="shared" si="15"/>
        <v>#VALUE!</v>
      </c>
      <c r="BY15" s="48" t="e">
        <f t="shared" si="15"/>
        <v>#VALUE!</v>
      </c>
      <c r="BZ15" s="48" t="e">
        <f t="shared" si="15"/>
        <v>#VALUE!</v>
      </c>
      <c r="CA15" s="48" t="e">
        <f t="shared" si="15"/>
        <v>#VALUE!</v>
      </c>
      <c r="CB15" s="48" t="e">
        <f t="shared" si="15"/>
        <v>#VALUE!</v>
      </c>
      <c r="CC15" s="48" t="e">
        <f t="shared" si="15"/>
        <v>#VALUE!</v>
      </c>
      <c r="CD15" s="48" t="e">
        <f t="shared" si="15"/>
        <v>#VALUE!</v>
      </c>
      <c r="CE15" s="48" t="e">
        <f t="shared" si="15"/>
        <v>#VALUE!</v>
      </c>
      <c r="CF15" s="48" t="e">
        <f t="shared" si="15"/>
        <v>#VALUE!</v>
      </c>
      <c r="CG15" s="48" t="e">
        <f t="shared" ref="CG15:DB15" si="16">IF(CG6&lt;&gt;CG8,IF(CG6&lt;&gt;CG9,IF(CG6&lt;&gt;CG10,IF(CG6&lt;&gt;CG11,IF(CG6&lt;&gt;CG12,IF(CG6&lt;&gt;CG13,IF(CG6&lt;&gt;CG14,0,1),1),1),1),1),1),1)</f>
        <v>#VALUE!</v>
      </c>
      <c r="CH15" s="48" t="e">
        <f t="shared" si="16"/>
        <v>#VALUE!</v>
      </c>
      <c r="CI15" s="48" t="e">
        <f t="shared" si="16"/>
        <v>#VALUE!</v>
      </c>
      <c r="CJ15" s="48" t="e">
        <f t="shared" si="16"/>
        <v>#VALUE!</v>
      </c>
      <c r="CK15" s="48" t="e">
        <f t="shared" si="16"/>
        <v>#VALUE!</v>
      </c>
      <c r="CL15" s="48" t="e">
        <f t="shared" si="16"/>
        <v>#VALUE!</v>
      </c>
      <c r="CM15" s="48" t="e">
        <f t="shared" si="16"/>
        <v>#VALUE!</v>
      </c>
      <c r="CN15" s="48" t="e">
        <f t="shared" si="16"/>
        <v>#VALUE!</v>
      </c>
      <c r="CO15" s="48" t="e">
        <f t="shared" si="16"/>
        <v>#VALUE!</v>
      </c>
      <c r="CP15" s="48" t="e">
        <f t="shared" si="16"/>
        <v>#VALUE!</v>
      </c>
      <c r="CQ15" s="48" t="e">
        <f t="shared" si="16"/>
        <v>#VALUE!</v>
      </c>
      <c r="CR15" s="48" t="e">
        <f t="shared" si="16"/>
        <v>#VALUE!</v>
      </c>
      <c r="CS15" s="48" t="e">
        <f t="shared" si="16"/>
        <v>#VALUE!</v>
      </c>
      <c r="CT15" s="48" t="e">
        <f t="shared" si="16"/>
        <v>#VALUE!</v>
      </c>
      <c r="CU15" s="48" t="e">
        <f t="shared" si="16"/>
        <v>#VALUE!</v>
      </c>
      <c r="CV15" s="48" t="e">
        <f t="shared" si="16"/>
        <v>#VALUE!</v>
      </c>
      <c r="CW15" s="48" t="e">
        <f t="shared" si="16"/>
        <v>#VALUE!</v>
      </c>
      <c r="CX15" s="48" t="e">
        <f t="shared" si="16"/>
        <v>#VALUE!</v>
      </c>
      <c r="CY15" s="48" t="e">
        <f t="shared" si="16"/>
        <v>#VALUE!</v>
      </c>
      <c r="CZ15" s="48" t="e">
        <f t="shared" si="16"/>
        <v>#VALUE!</v>
      </c>
      <c r="DA15" s="48" t="e">
        <f t="shared" si="16"/>
        <v>#VALUE!</v>
      </c>
      <c r="DB15" s="48" t="e">
        <f t="shared" si="16"/>
        <v>#VALUE!</v>
      </c>
    </row>
    <row r="16" spans="1:106" ht="15" customHeight="1">
      <c r="A16" s="4" t="s">
        <v>47</v>
      </c>
      <c r="B16" s="139"/>
      <c r="C16" s="139"/>
      <c r="D16" s="139"/>
      <c r="E16" s="54" t="str">
        <f>TEXT(E15,"jjjj")</f>
        <v/>
      </c>
      <c r="F16" s="55" t="str">
        <f>IF(Demande!L81=TRUE,IF(F17&lt;&gt;"",TEXT(F17,"jjjj"),""),"")</f>
        <v/>
      </c>
      <c r="G16" s="54" t="str">
        <f>IF(G15&lt;&gt;"",TEXT(G15,"jjjj"),"")</f>
        <v/>
      </c>
      <c r="P16" s="1" t="s">
        <v>46</v>
      </c>
      <c r="Q16" s="25" t="e">
        <f t="shared" ref="Q16:AZ16" si="17">DOLLAR((DAY(MINUTE(YEAR(Q6)/38)/2+55)&amp;"/4/"&amp;YEAR(Q6))/7,)*7-5</f>
        <v>#VALUE!</v>
      </c>
      <c r="R16" s="25" t="e">
        <f t="shared" si="17"/>
        <v>#VALUE!</v>
      </c>
      <c r="S16" s="25" t="e">
        <f t="shared" si="17"/>
        <v>#VALUE!</v>
      </c>
      <c r="T16" s="25" t="e">
        <f t="shared" si="17"/>
        <v>#VALUE!</v>
      </c>
      <c r="U16" s="25" t="e">
        <f t="shared" si="17"/>
        <v>#VALUE!</v>
      </c>
      <c r="V16" s="25" t="e">
        <f t="shared" si="17"/>
        <v>#VALUE!</v>
      </c>
      <c r="W16" s="25" t="e">
        <f t="shared" si="17"/>
        <v>#VALUE!</v>
      </c>
      <c r="X16" s="25" t="e">
        <f t="shared" si="17"/>
        <v>#VALUE!</v>
      </c>
      <c r="Y16" s="25" t="e">
        <f t="shared" si="17"/>
        <v>#VALUE!</v>
      </c>
      <c r="Z16" s="25" t="e">
        <f t="shared" si="17"/>
        <v>#VALUE!</v>
      </c>
      <c r="AA16" s="25" t="e">
        <f t="shared" si="17"/>
        <v>#VALUE!</v>
      </c>
      <c r="AB16" s="25" t="e">
        <f t="shared" si="17"/>
        <v>#VALUE!</v>
      </c>
      <c r="AC16" s="25" t="e">
        <f t="shared" si="17"/>
        <v>#VALUE!</v>
      </c>
      <c r="AD16" s="25" t="e">
        <f t="shared" si="17"/>
        <v>#VALUE!</v>
      </c>
      <c r="AE16" s="25" t="e">
        <f t="shared" si="17"/>
        <v>#VALUE!</v>
      </c>
      <c r="AF16" s="25" t="e">
        <f t="shared" si="17"/>
        <v>#VALUE!</v>
      </c>
      <c r="AG16" s="25" t="e">
        <f t="shared" si="17"/>
        <v>#VALUE!</v>
      </c>
      <c r="AH16" s="25" t="e">
        <f t="shared" si="17"/>
        <v>#VALUE!</v>
      </c>
      <c r="AI16" s="25" t="e">
        <f t="shared" si="17"/>
        <v>#VALUE!</v>
      </c>
      <c r="AJ16" s="25" t="e">
        <f t="shared" si="17"/>
        <v>#VALUE!</v>
      </c>
      <c r="AK16" s="25" t="e">
        <f t="shared" si="17"/>
        <v>#VALUE!</v>
      </c>
      <c r="AL16" s="25" t="e">
        <f t="shared" si="17"/>
        <v>#VALUE!</v>
      </c>
      <c r="AM16" s="25" t="e">
        <f t="shared" si="17"/>
        <v>#VALUE!</v>
      </c>
      <c r="AN16" s="25" t="e">
        <f t="shared" si="17"/>
        <v>#VALUE!</v>
      </c>
      <c r="AO16" s="25" t="e">
        <f t="shared" si="17"/>
        <v>#VALUE!</v>
      </c>
      <c r="AP16" s="25" t="e">
        <f t="shared" si="17"/>
        <v>#VALUE!</v>
      </c>
      <c r="AQ16" s="25" t="e">
        <f t="shared" si="17"/>
        <v>#VALUE!</v>
      </c>
      <c r="AR16" s="25" t="e">
        <f t="shared" si="17"/>
        <v>#VALUE!</v>
      </c>
      <c r="AS16" s="25" t="e">
        <f t="shared" si="17"/>
        <v>#VALUE!</v>
      </c>
      <c r="AT16" s="25" t="e">
        <f t="shared" si="17"/>
        <v>#VALUE!</v>
      </c>
      <c r="AU16" s="25" t="e">
        <f t="shared" si="17"/>
        <v>#VALUE!</v>
      </c>
      <c r="AV16" s="25" t="e">
        <f t="shared" si="17"/>
        <v>#VALUE!</v>
      </c>
      <c r="AW16" s="25" t="e">
        <f t="shared" si="17"/>
        <v>#VALUE!</v>
      </c>
      <c r="AX16" s="25" t="e">
        <f t="shared" si="17"/>
        <v>#VALUE!</v>
      </c>
      <c r="AY16" s="25" t="e">
        <f t="shared" si="17"/>
        <v>#VALUE!</v>
      </c>
      <c r="AZ16" s="25" t="e">
        <f t="shared" si="17"/>
        <v>#VALUE!</v>
      </c>
      <c r="BA16" s="25" t="e">
        <f t="shared" ref="BA16:DB16" si="18">DOLLAR((DAY(MINUTE(YEAR(BA6)/38)/2+55)&amp;"/4/"&amp;YEAR(BA6))/7,)*7-5</f>
        <v>#VALUE!</v>
      </c>
      <c r="BB16" s="25" t="e">
        <f t="shared" si="18"/>
        <v>#VALUE!</v>
      </c>
      <c r="BC16" s="25" t="e">
        <f t="shared" si="18"/>
        <v>#VALUE!</v>
      </c>
      <c r="BD16" s="25" t="e">
        <f t="shared" si="18"/>
        <v>#VALUE!</v>
      </c>
      <c r="BE16" s="25" t="e">
        <f t="shared" si="18"/>
        <v>#VALUE!</v>
      </c>
      <c r="BF16" s="25" t="e">
        <f t="shared" si="18"/>
        <v>#VALUE!</v>
      </c>
      <c r="BG16" s="25" t="e">
        <f t="shared" si="18"/>
        <v>#VALUE!</v>
      </c>
      <c r="BH16" s="25" t="e">
        <f t="shared" si="18"/>
        <v>#VALUE!</v>
      </c>
      <c r="BI16" s="25" t="e">
        <f t="shared" si="18"/>
        <v>#VALUE!</v>
      </c>
      <c r="BJ16" s="25" t="e">
        <f t="shared" si="18"/>
        <v>#VALUE!</v>
      </c>
      <c r="BK16" s="25" t="e">
        <f t="shared" si="18"/>
        <v>#VALUE!</v>
      </c>
      <c r="BL16" s="25" t="e">
        <f t="shared" si="18"/>
        <v>#VALUE!</v>
      </c>
      <c r="BM16" s="25" t="e">
        <f t="shared" si="18"/>
        <v>#VALUE!</v>
      </c>
      <c r="BN16" s="25" t="e">
        <f t="shared" si="18"/>
        <v>#VALUE!</v>
      </c>
      <c r="BO16" s="25" t="e">
        <f t="shared" si="18"/>
        <v>#VALUE!</v>
      </c>
      <c r="BP16" s="25" t="e">
        <f t="shared" si="18"/>
        <v>#VALUE!</v>
      </c>
      <c r="BQ16" s="25" t="e">
        <f t="shared" si="18"/>
        <v>#VALUE!</v>
      </c>
      <c r="BR16" s="25" t="e">
        <f t="shared" si="18"/>
        <v>#VALUE!</v>
      </c>
      <c r="BS16" s="25" t="e">
        <f t="shared" si="18"/>
        <v>#VALUE!</v>
      </c>
      <c r="BT16" s="25" t="e">
        <f t="shared" si="18"/>
        <v>#VALUE!</v>
      </c>
      <c r="BU16" s="25" t="e">
        <f t="shared" si="18"/>
        <v>#VALUE!</v>
      </c>
      <c r="BV16" s="25" t="e">
        <f t="shared" si="18"/>
        <v>#VALUE!</v>
      </c>
      <c r="BW16" s="25" t="e">
        <f t="shared" si="18"/>
        <v>#VALUE!</v>
      </c>
      <c r="BX16" s="25" t="e">
        <f t="shared" si="18"/>
        <v>#VALUE!</v>
      </c>
      <c r="BY16" s="25" t="e">
        <f t="shared" si="18"/>
        <v>#VALUE!</v>
      </c>
      <c r="BZ16" s="25" t="e">
        <f t="shared" si="18"/>
        <v>#VALUE!</v>
      </c>
      <c r="CA16" s="25" t="e">
        <f t="shared" si="18"/>
        <v>#VALUE!</v>
      </c>
      <c r="CB16" s="25" t="e">
        <f t="shared" si="18"/>
        <v>#VALUE!</v>
      </c>
      <c r="CC16" s="25" t="e">
        <f t="shared" si="18"/>
        <v>#VALUE!</v>
      </c>
      <c r="CD16" s="25" t="e">
        <f t="shared" si="18"/>
        <v>#VALUE!</v>
      </c>
      <c r="CE16" s="25" t="e">
        <f t="shared" si="18"/>
        <v>#VALUE!</v>
      </c>
      <c r="CF16" s="25" t="e">
        <f t="shared" si="18"/>
        <v>#VALUE!</v>
      </c>
      <c r="CG16" s="25" t="e">
        <f t="shared" si="18"/>
        <v>#VALUE!</v>
      </c>
      <c r="CH16" s="25" t="e">
        <f t="shared" si="18"/>
        <v>#VALUE!</v>
      </c>
      <c r="CI16" s="25" t="e">
        <f t="shared" si="18"/>
        <v>#VALUE!</v>
      </c>
      <c r="CJ16" s="25" t="e">
        <f t="shared" si="18"/>
        <v>#VALUE!</v>
      </c>
      <c r="CK16" s="25" t="e">
        <f t="shared" si="18"/>
        <v>#VALUE!</v>
      </c>
      <c r="CL16" s="25" t="e">
        <f t="shared" si="18"/>
        <v>#VALUE!</v>
      </c>
      <c r="CM16" s="25" t="e">
        <f t="shared" si="18"/>
        <v>#VALUE!</v>
      </c>
      <c r="CN16" s="25" t="e">
        <f t="shared" si="18"/>
        <v>#VALUE!</v>
      </c>
      <c r="CO16" s="25" t="e">
        <f t="shared" si="18"/>
        <v>#VALUE!</v>
      </c>
      <c r="CP16" s="25" t="e">
        <f t="shared" si="18"/>
        <v>#VALUE!</v>
      </c>
      <c r="CQ16" s="25" t="e">
        <f t="shared" si="18"/>
        <v>#VALUE!</v>
      </c>
      <c r="CR16" s="25" t="e">
        <f t="shared" si="18"/>
        <v>#VALUE!</v>
      </c>
      <c r="CS16" s="25" t="e">
        <f t="shared" si="18"/>
        <v>#VALUE!</v>
      </c>
      <c r="CT16" s="25" t="e">
        <f t="shared" si="18"/>
        <v>#VALUE!</v>
      </c>
      <c r="CU16" s="25" t="e">
        <f t="shared" si="18"/>
        <v>#VALUE!</v>
      </c>
      <c r="CV16" s="25" t="e">
        <f t="shared" si="18"/>
        <v>#VALUE!</v>
      </c>
      <c r="CW16" s="25" t="e">
        <f t="shared" si="18"/>
        <v>#VALUE!</v>
      </c>
      <c r="CX16" s="25" t="e">
        <f t="shared" si="18"/>
        <v>#VALUE!</v>
      </c>
      <c r="CY16" s="25" t="e">
        <f t="shared" si="18"/>
        <v>#VALUE!</v>
      </c>
      <c r="CZ16" s="25" t="e">
        <f t="shared" si="18"/>
        <v>#VALUE!</v>
      </c>
      <c r="DA16" s="25" t="e">
        <f t="shared" si="18"/>
        <v>#VALUE!</v>
      </c>
      <c r="DB16" s="25" t="e">
        <f t="shared" si="18"/>
        <v>#VALUE!</v>
      </c>
    </row>
    <row r="17" spans="1:106" ht="15" customHeight="1">
      <c r="A17" s="37" t="s">
        <v>50</v>
      </c>
      <c r="B17" s="139"/>
      <c r="C17" s="153"/>
      <c r="D17" s="139"/>
      <c r="E17" s="56"/>
      <c r="F17" s="56"/>
      <c r="G17" s="56"/>
      <c r="I17" s="200"/>
      <c r="P17" s="1" t="s">
        <v>49</v>
      </c>
      <c r="Q17" s="25" t="e">
        <f t="shared" ref="Q17:AZ17" si="19">DOLLAR((DAY(MINUTE(YEAR(Q6)/38)/2+55)&amp;"/4/"&amp;YEAR(Q6))/7,)*7+33</f>
        <v>#VALUE!</v>
      </c>
      <c r="R17" s="25" t="e">
        <f t="shared" si="19"/>
        <v>#VALUE!</v>
      </c>
      <c r="S17" s="25" t="e">
        <f t="shared" si="19"/>
        <v>#VALUE!</v>
      </c>
      <c r="T17" s="25" t="e">
        <f t="shared" si="19"/>
        <v>#VALUE!</v>
      </c>
      <c r="U17" s="25" t="e">
        <f t="shared" si="19"/>
        <v>#VALUE!</v>
      </c>
      <c r="V17" s="25" t="e">
        <f t="shared" si="19"/>
        <v>#VALUE!</v>
      </c>
      <c r="W17" s="25" t="e">
        <f t="shared" si="19"/>
        <v>#VALUE!</v>
      </c>
      <c r="X17" s="25" t="e">
        <f t="shared" si="19"/>
        <v>#VALUE!</v>
      </c>
      <c r="Y17" s="25" t="e">
        <f t="shared" si="19"/>
        <v>#VALUE!</v>
      </c>
      <c r="Z17" s="25" t="e">
        <f t="shared" si="19"/>
        <v>#VALUE!</v>
      </c>
      <c r="AA17" s="25" t="e">
        <f t="shared" si="19"/>
        <v>#VALUE!</v>
      </c>
      <c r="AB17" s="25" t="e">
        <f t="shared" si="19"/>
        <v>#VALUE!</v>
      </c>
      <c r="AC17" s="25" t="e">
        <f t="shared" si="19"/>
        <v>#VALUE!</v>
      </c>
      <c r="AD17" s="25" t="e">
        <f t="shared" si="19"/>
        <v>#VALUE!</v>
      </c>
      <c r="AE17" s="25" t="e">
        <f t="shared" si="19"/>
        <v>#VALUE!</v>
      </c>
      <c r="AF17" s="25" t="e">
        <f t="shared" si="19"/>
        <v>#VALUE!</v>
      </c>
      <c r="AG17" s="25" t="e">
        <f t="shared" si="19"/>
        <v>#VALUE!</v>
      </c>
      <c r="AH17" s="25" t="e">
        <f t="shared" si="19"/>
        <v>#VALUE!</v>
      </c>
      <c r="AI17" s="25" t="e">
        <f t="shared" si="19"/>
        <v>#VALUE!</v>
      </c>
      <c r="AJ17" s="25" t="e">
        <f t="shared" si="19"/>
        <v>#VALUE!</v>
      </c>
      <c r="AK17" s="25" t="e">
        <f t="shared" si="19"/>
        <v>#VALUE!</v>
      </c>
      <c r="AL17" s="25" t="e">
        <f t="shared" si="19"/>
        <v>#VALUE!</v>
      </c>
      <c r="AM17" s="25" t="e">
        <f t="shared" si="19"/>
        <v>#VALUE!</v>
      </c>
      <c r="AN17" s="25" t="e">
        <f t="shared" si="19"/>
        <v>#VALUE!</v>
      </c>
      <c r="AO17" s="25" t="e">
        <f t="shared" si="19"/>
        <v>#VALUE!</v>
      </c>
      <c r="AP17" s="25" t="e">
        <f t="shared" si="19"/>
        <v>#VALUE!</v>
      </c>
      <c r="AQ17" s="25" t="e">
        <f t="shared" si="19"/>
        <v>#VALUE!</v>
      </c>
      <c r="AR17" s="25" t="e">
        <f t="shared" si="19"/>
        <v>#VALUE!</v>
      </c>
      <c r="AS17" s="25" t="e">
        <f t="shared" si="19"/>
        <v>#VALUE!</v>
      </c>
      <c r="AT17" s="25" t="e">
        <f t="shared" si="19"/>
        <v>#VALUE!</v>
      </c>
      <c r="AU17" s="25" t="e">
        <f t="shared" si="19"/>
        <v>#VALUE!</v>
      </c>
      <c r="AV17" s="25" t="e">
        <f t="shared" si="19"/>
        <v>#VALUE!</v>
      </c>
      <c r="AW17" s="25" t="e">
        <f t="shared" si="19"/>
        <v>#VALUE!</v>
      </c>
      <c r="AX17" s="25" t="e">
        <f t="shared" si="19"/>
        <v>#VALUE!</v>
      </c>
      <c r="AY17" s="25" t="e">
        <f t="shared" si="19"/>
        <v>#VALUE!</v>
      </c>
      <c r="AZ17" s="25" t="e">
        <f t="shared" si="19"/>
        <v>#VALUE!</v>
      </c>
      <c r="BA17" s="25" t="e">
        <f t="shared" ref="BA17:DB17" si="20">DOLLAR((DAY(MINUTE(YEAR(BA6)/38)/2+55)&amp;"/4/"&amp;YEAR(BA6))/7,)*7+33</f>
        <v>#VALUE!</v>
      </c>
      <c r="BB17" s="25" t="e">
        <f t="shared" si="20"/>
        <v>#VALUE!</v>
      </c>
      <c r="BC17" s="25" t="e">
        <f t="shared" si="20"/>
        <v>#VALUE!</v>
      </c>
      <c r="BD17" s="25" t="e">
        <f t="shared" si="20"/>
        <v>#VALUE!</v>
      </c>
      <c r="BE17" s="25" t="e">
        <f t="shared" si="20"/>
        <v>#VALUE!</v>
      </c>
      <c r="BF17" s="25" t="e">
        <f t="shared" si="20"/>
        <v>#VALUE!</v>
      </c>
      <c r="BG17" s="25" t="e">
        <f t="shared" si="20"/>
        <v>#VALUE!</v>
      </c>
      <c r="BH17" s="25" t="e">
        <f t="shared" si="20"/>
        <v>#VALUE!</v>
      </c>
      <c r="BI17" s="25" t="e">
        <f t="shared" si="20"/>
        <v>#VALUE!</v>
      </c>
      <c r="BJ17" s="25" t="e">
        <f t="shared" si="20"/>
        <v>#VALUE!</v>
      </c>
      <c r="BK17" s="25" t="e">
        <f t="shared" si="20"/>
        <v>#VALUE!</v>
      </c>
      <c r="BL17" s="25" t="e">
        <f t="shared" si="20"/>
        <v>#VALUE!</v>
      </c>
      <c r="BM17" s="25" t="e">
        <f t="shared" si="20"/>
        <v>#VALUE!</v>
      </c>
      <c r="BN17" s="25" t="e">
        <f t="shared" si="20"/>
        <v>#VALUE!</v>
      </c>
      <c r="BO17" s="25" t="e">
        <f t="shared" si="20"/>
        <v>#VALUE!</v>
      </c>
      <c r="BP17" s="25" t="e">
        <f t="shared" si="20"/>
        <v>#VALUE!</v>
      </c>
      <c r="BQ17" s="25" t="e">
        <f t="shared" si="20"/>
        <v>#VALUE!</v>
      </c>
      <c r="BR17" s="25" t="e">
        <f t="shared" si="20"/>
        <v>#VALUE!</v>
      </c>
      <c r="BS17" s="25" t="e">
        <f t="shared" si="20"/>
        <v>#VALUE!</v>
      </c>
      <c r="BT17" s="25" t="e">
        <f t="shared" si="20"/>
        <v>#VALUE!</v>
      </c>
      <c r="BU17" s="25" t="e">
        <f t="shared" si="20"/>
        <v>#VALUE!</v>
      </c>
      <c r="BV17" s="25" t="e">
        <f t="shared" si="20"/>
        <v>#VALUE!</v>
      </c>
      <c r="BW17" s="25" t="e">
        <f t="shared" si="20"/>
        <v>#VALUE!</v>
      </c>
      <c r="BX17" s="25" t="e">
        <f t="shared" si="20"/>
        <v>#VALUE!</v>
      </c>
      <c r="BY17" s="25" t="e">
        <f t="shared" si="20"/>
        <v>#VALUE!</v>
      </c>
      <c r="BZ17" s="25" t="e">
        <f t="shared" si="20"/>
        <v>#VALUE!</v>
      </c>
      <c r="CA17" s="25" t="e">
        <f t="shared" si="20"/>
        <v>#VALUE!</v>
      </c>
      <c r="CB17" s="25" t="e">
        <f t="shared" si="20"/>
        <v>#VALUE!</v>
      </c>
      <c r="CC17" s="25" t="e">
        <f t="shared" si="20"/>
        <v>#VALUE!</v>
      </c>
      <c r="CD17" s="25" t="e">
        <f t="shared" si="20"/>
        <v>#VALUE!</v>
      </c>
      <c r="CE17" s="25" t="e">
        <f t="shared" si="20"/>
        <v>#VALUE!</v>
      </c>
      <c r="CF17" s="25" t="e">
        <f t="shared" si="20"/>
        <v>#VALUE!</v>
      </c>
      <c r="CG17" s="25" t="e">
        <f t="shared" si="20"/>
        <v>#VALUE!</v>
      </c>
      <c r="CH17" s="25" t="e">
        <f t="shared" si="20"/>
        <v>#VALUE!</v>
      </c>
      <c r="CI17" s="25" t="e">
        <f t="shared" si="20"/>
        <v>#VALUE!</v>
      </c>
      <c r="CJ17" s="25" t="e">
        <f t="shared" si="20"/>
        <v>#VALUE!</v>
      </c>
      <c r="CK17" s="25" t="e">
        <f t="shared" si="20"/>
        <v>#VALUE!</v>
      </c>
      <c r="CL17" s="25" t="e">
        <f t="shared" si="20"/>
        <v>#VALUE!</v>
      </c>
      <c r="CM17" s="25" t="e">
        <f t="shared" si="20"/>
        <v>#VALUE!</v>
      </c>
      <c r="CN17" s="25" t="e">
        <f t="shared" si="20"/>
        <v>#VALUE!</v>
      </c>
      <c r="CO17" s="25" t="e">
        <f t="shared" si="20"/>
        <v>#VALUE!</v>
      </c>
      <c r="CP17" s="25" t="e">
        <f t="shared" si="20"/>
        <v>#VALUE!</v>
      </c>
      <c r="CQ17" s="25" t="e">
        <f t="shared" si="20"/>
        <v>#VALUE!</v>
      </c>
      <c r="CR17" s="25" t="e">
        <f t="shared" si="20"/>
        <v>#VALUE!</v>
      </c>
      <c r="CS17" s="25" t="e">
        <f t="shared" si="20"/>
        <v>#VALUE!</v>
      </c>
      <c r="CT17" s="25" t="e">
        <f t="shared" si="20"/>
        <v>#VALUE!</v>
      </c>
      <c r="CU17" s="25" t="e">
        <f t="shared" si="20"/>
        <v>#VALUE!</v>
      </c>
      <c r="CV17" s="25" t="e">
        <f t="shared" si="20"/>
        <v>#VALUE!</v>
      </c>
      <c r="CW17" s="25" t="e">
        <f t="shared" si="20"/>
        <v>#VALUE!</v>
      </c>
      <c r="CX17" s="25" t="e">
        <f t="shared" si="20"/>
        <v>#VALUE!</v>
      </c>
      <c r="CY17" s="25" t="e">
        <f t="shared" si="20"/>
        <v>#VALUE!</v>
      </c>
      <c r="CZ17" s="25" t="e">
        <f t="shared" si="20"/>
        <v>#VALUE!</v>
      </c>
      <c r="DA17" s="25" t="e">
        <f t="shared" si="20"/>
        <v>#VALUE!</v>
      </c>
      <c r="DB17" s="25" t="e">
        <f t="shared" si="20"/>
        <v>#VALUE!</v>
      </c>
    </row>
    <row r="18" spans="1:106" ht="15" customHeight="1">
      <c r="C18" s="117" t="str">
        <f>IF(C14&lt;&gt;"",IF(Z165=1,AA159-IF(AO14=1,AP14,Z166),""),"")</f>
        <v/>
      </c>
      <c r="G18" s="120" t="str">
        <f>IF(Demande!L81=TRUE,IF(F17&lt;&gt;"",IF(OR(W77&lt;&gt;0,X82&lt;&gt;0,X84&lt;&gt;0),X77,""),""),"")</f>
        <v/>
      </c>
      <c r="P18" s="1" t="s">
        <v>53</v>
      </c>
      <c r="Q18" s="25" t="e">
        <f t="shared" ref="Q18:AZ18" si="21">DOLLAR((DAY(MINUTE(YEAR(Q6)/38)/2+55)&amp;"/4/"&amp;YEAR(Q6))/7,)*7+44</f>
        <v>#VALUE!</v>
      </c>
      <c r="R18" s="25" t="e">
        <f t="shared" si="21"/>
        <v>#VALUE!</v>
      </c>
      <c r="S18" s="25" t="e">
        <f t="shared" si="21"/>
        <v>#VALUE!</v>
      </c>
      <c r="T18" s="25" t="e">
        <f t="shared" si="21"/>
        <v>#VALUE!</v>
      </c>
      <c r="U18" s="25" t="e">
        <f t="shared" si="21"/>
        <v>#VALUE!</v>
      </c>
      <c r="V18" s="25" t="e">
        <f t="shared" si="21"/>
        <v>#VALUE!</v>
      </c>
      <c r="W18" s="25" t="e">
        <f t="shared" si="21"/>
        <v>#VALUE!</v>
      </c>
      <c r="X18" s="25" t="e">
        <f t="shared" si="21"/>
        <v>#VALUE!</v>
      </c>
      <c r="Y18" s="25" t="e">
        <f t="shared" si="21"/>
        <v>#VALUE!</v>
      </c>
      <c r="Z18" s="25" t="e">
        <f t="shared" si="21"/>
        <v>#VALUE!</v>
      </c>
      <c r="AA18" s="25" t="e">
        <f t="shared" si="21"/>
        <v>#VALUE!</v>
      </c>
      <c r="AB18" s="25" t="e">
        <f t="shared" si="21"/>
        <v>#VALUE!</v>
      </c>
      <c r="AC18" s="25" t="e">
        <f t="shared" si="21"/>
        <v>#VALUE!</v>
      </c>
      <c r="AD18" s="25" t="e">
        <f t="shared" si="21"/>
        <v>#VALUE!</v>
      </c>
      <c r="AE18" s="25" t="e">
        <f t="shared" si="21"/>
        <v>#VALUE!</v>
      </c>
      <c r="AF18" s="25" t="e">
        <f t="shared" si="21"/>
        <v>#VALUE!</v>
      </c>
      <c r="AG18" s="25" t="e">
        <f t="shared" si="21"/>
        <v>#VALUE!</v>
      </c>
      <c r="AH18" s="25" t="e">
        <f t="shared" si="21"/>
        <v>#VALUE!</v>
      </c>
      <c r="AI18" s="25" t="e">
        <f t="shared" si="21"/>
        <v>#VALUE!</v>
      </c>
      <c r="AJ18" s="25" t="e">
        <f t="shared" si="21"/>
        <v>#VALUE!</v>
      </c>
      <c r="AK18" s="25" t="e">
        <f t="shared" si="21"/>
        <v>#VALUE!</v>
      </c>
      <c r="AL18" s="25" t="e">
        <f t="shared" si="21"/>
        <v>#VALUE!</v>
      </c>
      <c r="AM18" s="25" t="e">
        <f t="shared" si="21"/>
        <v>#VALUE!</v>
      </c>
      <c r="AN18" s="25" t="e">
        <f t="shared" si="21"/>
        <v>#VALUE!</v>
      </c>
      <c r="AO18" s="25" t="e">
        <f t="shared" si="21"/>
        <v>#VALUE!</v>
      </c>
      <c r="AP18" s="25" t="e">
        <f t="shared" si="21"/>
        <v>#VALUE!</v>
      </c>
      <c r="AQ18" s="25" t="e">
        <f t="shared" si="21"/>
        <v>#VALUE!</v>
      </c>
      <c r="AR18" s="25" t="e">
        <f t="shared" si="21"/>
        <v>#VALUE!</v>
      </c>
      <c r="AS18" s="25" t="e">
        <f t="shared" si="21"/>
        <v>#VALUE!</v>
      </c>
      <c r="AT18" s="25" t="e">
        <f t="shared" si="21"/>
        <v>#VALUE!</v>
      </c>
      <c r="AU18" s="25" t="e">
        <f t="shared" si="21"/>
        <v>#VALUE!</v>
      </c>
      <c r="AV18" s="25" t="e">
        <f t="shared" si="21"/>
        <v>#VALUE!</v>
      </c>
      <c r="AW18" s="25" t="e">
        <f t="shared" si="21"/>
        <v>#VALUE!</v>
      </c>
      <c r="AX18" s="25" t="e">
        <f t="shared" si="21"/>
        <v>#VALUE!</v>
      </c>
      <c r="AY18" s="25" t="e">
        <f t="shared" si="21"/>
        <v>#VALUE!</v>
      </c>
      <c r="AZ18" s="25" t="e">
        <f t="shared" si="21"/>
        <v>#VALUE!</v>
      </c>
      <c r="BA18" s="25" t="e">
        <f>DOLLAR((DAY(MINUTE(YEAR(BA6)/38)/2+55)&amp;"/4/"&amp;YEAR(BA6))/7,)*7+44</f>
        <v>#VALUE!</v>
      </c>
      <c r="BB18" s="25" t="e">
        <f>DOLLAR((DAY(MINUTE(YEAR(BB6)/38)/2+55)&amp;"/4/"&amp;YEAR(BB6))/7,)*7+44</f>
        <v>#VALUE!</v>
      </c>
      <c r="BC18" s="25" t="e">
        <f t="shared" ref="BC18" si="22">DOLLAR((DAY(MINUTE(YEAR(BC6)/38)/2+55)&amp;"/4/"&amp;YEAR(BC6))/7,)*7+44</f>
        <v>#VALUE!</v>
      </c>
      <c r="BD18" s="25" t="e">
        <f>DOLLAR((DAY(MINUTE(YEAR(BD6)/38)/2+55)&amp;"/4/"&amp;YEAR(BD6))/7,)*7+44</f>
        <v>#VALUE!</v>
      </c>
      <c r="BE18" s="25" t="e">
        <f>DOLLAR((DAY(MINUTE(YEAR(BE6)/38)/2+55)&amp;"/4/"&amp;YEAR(BE6))/7,)*7+44</f>
        <v>#VALUE!</v>
      </c>
      <c r="BF18" s="25" t="e">
        <f t="shared" ref="BF18" si="23">DOLLAR((DAY(MINUTE(YEAR(BF6)/38)/2+55)&amp;"/4/"&amp;YEAR(BF6))/7,)*7+44</f>
        <v>#VALUE!</v>
      </c>
      <c r="BG18" s="25" t="e">
        <f>DOLLAR((DAY(MINUTE(YEAR(BG6)/38)/2+55)&amp;"/4/"&amp;YEAR(BG6))/7,)*7+44</f>
        <v>#VALUE!</v>
      </c>
      <c r="BH18" s="25" t="e">
        <f>DOLLAR((DAY(MINUTE(YEAR(BH6)/38)/2+55)&amp;"/4/"&amp;YEAR(BH6))/7,)*7+44</f>
        <v>#VALUE!</v>
      </c>
      <c r="BI18" s="25" t="e">
        <f t="shared" ref="BI18" si="24">DOLLAR((DAY(MINUTE(YEAR(BI6)/38)/2+55)&amp;"/4/"&amp;YEAR(BI6))/7,)*7+44</f>
        <v>#VALUE!</v>
      </c>
      <c r="BJ18" s="25" t="e">
        <f>DOLLAR((DAY(MINUTE(YEAR(BJ6)/38)/2+55)&amp;"/4/"&amp;YEAR(BJ6))/7,)*7+44</f>
        <v>#VALUE!</v>
      </c>
      <c r="BK18" s="25" t="e">
        <f>DOLLAR((DAY(MINUTE(YEAR(BK6)/38)/2+55)&amp;"/4/"&amp;YEAR(BK6))/7,)*7+44</f>
        <v>#VALUE!</v>
      </c>
      <c r="BL18" s="25" t="e">
        <f t="shared" ref="BL18" si="25">DOLLAR((DAY(MINUTE(YEAR(BL6)/38)/2+55)&amp;"/4/"&amp;YEAR(BL6))/7,)*7+44</f>
        <v>#VALUE!</v>
      </c>
      <c r="BM18" s="25" t="e">
        <f>DOLLAR((DAY(MINUTE(YEAR(BM6)/38)/2+55)&amp;"/4/"&amp;YEAR(BM6))/7,)*7+44</f>
        <v>#VALUE!</v>
      </c>
      <c r="BN18" s="25" t="e">
        <f>DOLLAR((DAY(MINUTE(YEAR(BN6)/38)/2+55)&amp;"/4/"&amp;YEAR(BN6))/7,)*7+44</f>
        <v>#VALUE!</v>
      </c>
      <c r="BO18" s="25" t="e">
        <f t="shared" ref="BO18" si="26">DOLLAR((DAY(MINUTE(YEAR(BO6)/38)/2+55)&amp;"/4/"&amp;YEAR(BO6))/7,)*7+44</f>
        <v>#VALUE!</v>
      </c>
      <c r="BP18" s="25" t="e">
        <f>DOLLAR((DAY(MINUTE(YEAR(BP6)/38)/2+55)&amp;"/4/"&amp;YEAR(BP6))/7,)*7+44</f>
        <v>#VALUE!</v>
      </c>
      <c r="BQ18" s="25" t="e">
        <f>DOLLAR((DAY(MINUTE(YEAR(BQ6)/38)/2+55)&amp;"/4/"&amp;YEAR(BQ6))/7,)*7+44</f>
        <v>#VALUE!</v>
      </c>
      <c r="BR18" s="25" t="e">
        <f t="shared" ref="BR18" si="27">DOLLAR((DAY(MINUTE(YEAR(BR6)/38)/2+55)&amp;"/4/"&amp;YEAR(BR6))/7,)*7+44</f>
        <v>#VALUE!</v>
      </c>
      <c r="BS18" s="25" t="e">
        <f>DOLLAR((DAY(MINUTE(YEAR(BS6)/38)/2+55)&amp;"/4/"&amp;YEAR(BS6))/7,)*7+44</f>
        <v>#VALUE!</v>
      </c>
      <c r="BT18" s="25" t="e">
        <f>DOLLAR((DAY(MINUTE(YEAR(BT6)/38)/2+55)&amp;"/4/"&amp;YEAR(BT6))/7,)*7+44</f>
        <v>#VALUE!</v>
      </c>
      <c r="BU18" s="25" t="e">
        <f t="shared" ref="BU18" si="28">DOLLAR((DAY(MINUTE(YEAR(BU6)/38)/2+55)&amp;"/4/"&amp;YEAR(BU6))/7,)*7+44</f>
        <v>#VALUE!</v>
      </c>
      <c r="BV18" s="25" t="e">
        <f>DOLLAR((DAY(MINUTE(YEAR(BV6)/38)/2+55)&amp;"/4/"&amp;YEAR(BV6))/7,)*7+44</f>
        <v>#VALUE!</v>
      </c>
      <c r="BW18" s="25" t="e">
        <f>DOLLAR((DAY(MINUTE(YEAR(BW6)/38)/2+55)&amp;"/4/"&amp;YEAR(BW6))/7,)*7+44</f>
        <v>#VALUE!</v>
      </c>
      <c r="BX18" s="25" t="e">
        <f t="shared" ref="BX18" si="29">DOLLAR((DAY(MINUTE(YEAR(BX6)/38)/2+55)&amp;"/4/"&amp;YEAR(BX6))/7,)*7+44</f>
        <v>#VALUE!</v>
      </c>
      <c r="BY18" s="25" t="e">
        <f>DOLLAR((DAY(MINUTE(YEAR(BY6)/38)/2+55)&amp;"/4/"&amp;YEAR(BY6))/7,)*7+44</f>
        <v>#VALUE!</v>
      </c>
      <c r="BZ18" s="25" t="e">
        <f>DOLLAR((DAY(MINUTE(YEAR(BZ6)/38)/2+55)&amp;"/4/"&amp;YEAR(BZ6))/7,)*7+44</f>
        <v>#VALUE!</v>
      </c>
      <c r="CA18" s="25" t="e">
        <f t="shared" ref="CA18" si="30">DOLLAR((DAY(MINUTE(YEAR(CA6)/38)/2+55)&amp;"/4/"&amp;YEAR(CA6))/7,)*7+44</f>
        <v>#VALUE!</v>
      </c>
      <c r="CB18" s="25" t="e">
        <f>DOLLAR((DAY(MINUTE(YEAR(CB6)/38)/2+55)&amp;"/4/"&amp;YEAR(CB6))/7,)*7+44</f>
        <v>#VALUE!</v>
      </c>
      <c r="CC18" s="25" t="e">
        <f>DOLLAR((DAY(MINUTE(YEAR(CC6)/38)/2+55)&amp;"/4/"&amp;YEAR(CC6))/7,)*7+44</f>
        <v>#VALUE!</v>
      </c>
      <c r="CD18" s="25" t="e">
        <f t="shared" ref="CD18" si="31">DOLLAR((DAY(MINUTE(YEAR(CD6)/38)/2+55)&amp;"/4/"&amp;YEAR(CD6))/7,)*7+44</f>
        <v>#VALUE!</v>
      </c>
      <c r="CE18" s="25" t="e">
        <f>DOLLAR((DAY(MINUTE(YEAR(CE6)/38)/2+55)&amp;"/4/"&amp;YEAR(CE6))/7,)*7+44</f>
        <v>#VALUE!</v>
      </c>
      <c r="CF18" s="25" t="e">
        <f>DOLLAR((DAY(MINUTE(YEAR(CF6)/38)/2+55)&amp;"/4/"&amp;YEAR(CF6))/7,)*7+44</f>
        <v>#VALUE!</v>
      </c>
      <c r="CG18" s="25" t="e">
        <f t="shared" ref="CG18" si="32">DOLLAR((DAY(MINUTE(YEAR(CG6)/38)/2+55)&amp;"/4/"&amp;YEAR(CG6))/7,)*7+44</f>
        <v>#VALUE!</v>
      </c>
      <c r="CH18" s="25" t="e">
        <f>DOLLAR((DAY(MINUTE(YEAR(CH6)/38)/2+55)&amp;"/4/"&amp;YEAR(CH6))/7,)*7+44</f>
        <v>#VALUE!</v>
      </c>
      <c r="CI18" s="25" t="e">
        <f>DOLLAR((DAY(MINUTE(YEAR(CI6)/38)/2+55)&amp;"/4/"&amp;YEAR(CI6))/7,)*7+44</f>
        <v>#VALUE!</v>
      </c>
      <c r="CJ18" s="25" t="e">
        <f t="shared" ref="CJ18" si="33">DOLLAR((DAY(MINUTE(YEAR(CJ6)/38)/2+55)&amp;"/4/"&amp;YEAR(CJ6))/7,)*7+44</f>
        <v>#VALUE!</v>
      </c>
      <c r="CK18" s="25" t="e">
        <f>DOLLAR((DAY(MINUTE(YEAR(CK6)/38)/2+55)&amp;"/4/"&amp;YEAR(CK6))/7,)*7+44</f>
        <v>#VALUE!</v>
      </c>
      <c r="CL18" s="25" t="e">
        <f>DOLLAR((DAY(MINUTE(YEAR(CL6)/38)/2+55)&amp;"/4/"&amp;YEAR(CL6))/7,)*7+44</f>
        <v>#VALUE!</v>
      </c>
      <c r="CM18" s="25" t="e">
        <f t="shared" ref="CM18" si="34">DOLLAR((DAY(MINUTE(YEAR(CM6)/38)/2+55)&amp;"/4/"&amp;YEAR(CM6))/7,)*7+44</f>
        <v>#VALUE!</v>
      </c>
      <c r="CN18" s="25" t="e">
        <f>DOLLAR((DAY(MINUTE(YEAR(CN6)/38)/2+55)&amp;"/4/"&amp;YEAR(CN6))/7,)*7+44</f>
        <v>#VALUE!</v>
      </c>
      <c r="CO18" s="25" t="e">
        <f>DOLLAR((DAY(MINUTE(YEAR(CO6)/38)/2+55)&amp;"/4/"&amp;YEAR(CO6))/7,)*7+44</f>
        <v>#VALUE!</v>
      </c>
      <c r="CP18" s="25" t="e">
        <f t="shared" ref="CP18" si="35">DOLLAR((DAY(MINUTE(YEAR(CP6)/38)/2+55)&amp;"/4/"&amp;YEAR(CP6))/7,)*7+44</f>
        <v>#VALUE!</v>
      </c>
      <c r="CQ18" s="25" t="e">
        <f>DOLLAR((DAY(MINUTE(YEAR(CQ6)/38)/2+55)&amp;"/4/"&amp;YEAR(CQ6))/7,)*7+44</f>
        <v>#VALUE!</v>
      </c>
      <c r="CR18" s="25" t="e">
        <f>DOLLAR((DAY(MINUTE(YEAR(CR6)/38)/2+55)&amp;"/4/"&amp;YEAR(CR6))/7,)*7+44</f>
        <v>#VALUE!</v>
      </c>
      <c r="CS18" s="25" t="e">
        <f t="shared" ref="CS18" si="36">DOLLAR((DAY(MINUTE(YEAR(CS6)/38)/2+55)&amp;"/4/"&amp;YEAR(CS6))/7,)*7+44</f>
        <v>#VALUE!</v>
      </c>
      <c r="CT18" s="25" t="e">
        <f>DOLLAR((DAY(MINUTE(YEAR(CT6)/38)/2+55)&amp;"/4/"&amp;YEAR(CT6))/7,)*7+44</f>
        <v>#VALUE!</v>
      </c>
      <c r="CU18" s="25" t="e">
        <f>DOLLAR((DAY(MINUTE(YEAR(CU6)/38)/2+55)&amp;"/4/"&amp;YEAR(CU6))/7,)*7+44</f>
        <v>#VALUE!</v>
      </c>
      <c r="CV18" s="25" t="e">
        <f t="shared" ref="CV18" si="37">DOLLAR((DAY(MINUTE(YEAR(CV6)/38)/2+55)&amp;"/4/"&amp;YEAR(CV6))/7,)*7+44</f>
        <v>#VALUE!</v>
      </c>
      <c r="CW18" s="25" t="e">
        <f>DOLLAR((DAY(MINUTE(YEAR(CW6)/38)/2+55)&amp;"/4/"&amp;YEAR(CW6))/7,)*7+44</f>
        <v>#VALUE!</v>
      </c>
      <c r="CX18" s="25" t="e">
        <f>DOLLAR((DAY(MINUTE(YEAR(CX6)/38)/2+55)&amp;"/4/"&amp;YEAR(CX6))/7,)*7+44</f>
        <v>#VALUE!</v>
      </c>
      <c r="CY18" s="25" t="e">
        <f t="shared" ref="CY18" si="38">DOLLAR((DAY(MINUTE(YEAR(CY6)/38)/2+55)&amp;"/4/"&amp;YEAR(CY6))/7,)*7+44</f>
        <v>#VALUE!</v>
      </c>
      <c r="CZ18" s="25" t="e">
        <f>DOLLAR((DAY(MINUTE(YEAR(CZ6)/38)/2+55)&amp;"/4/"&amp;YEAR(CZ6))/7,)*7+44</f>
        <v>#VALUE!</v>
      </c>
      <c r="DA18" s="25" t="e">
        <f>DOLLAR((DAY(MINUTE(YEAR(DA6)/38)/2+55)&amp;"/4/"&amp;YEAR(DA6))/7,)*7+44</f>
        <v>#VALUE!</v>
      </c>
      <c r="DB18" s="25" t="e">
        <f t="shared" ref="DB18" si="39">DOLLAR((DAY(MINUTE(YEAR(DB6)/38)/2+55)&amp;"/4/"&amp;YEAR(DB6))/7,)*7+44</f>
        <v>#VALUE!</v>
      </c>
    </row>
    <row r="19" spans="1:106" ht="15" customHeight="1">
      <c r="A19" s="11"/>
      <c r="B19" s="395" t="s">
        <v>1057</v>
      </c>
      <c r="C19" s="396"/>
      <c r="D19" s="397"/>
      <c r="E19" s="139"/>
      <c r="F19" s="355" t="str">
        <f ca="1">IF(F17&lt;&gt;"",IF(J5&lt;&gt;3,IF(J5=0,IF(AND(G26&lt;&gt;"",OR(TODAY()&lt;=G23,G26&lt;=G23,)),"Décision de l'autorité",""),IF(J5=1,"Refus tacite","RS = décision")),""),"")</f>
        <v/>
      </c>
      <c r="G19" s="355"/>
      <c r="I19" s="198" t="s">
        <v>1011</v>
      </c>
      <c r="J19" s="198" t="s">
        <v>1012</v>
      </c>
      <c r="P19" s="49" t="s">
        <v>35</v>
      </c>
      <c r="Q19" s="48" t="e">
        <f t="shared" ref="Q19:AZ19" si="40">IF(Q6&lt;&gt;Q16,IF(Q6&lt;&gt;Q17,IF(Q6&lt;&gt;Q18,0,1),1),1)</f>
        <v>#VALUE!</v>
      </c>
      <c r="R19" s="48" t="e">
        <f t="shared" si="40"/>
        <v>#VALUE!</v>
      </c>
      <c r="S19" s="48" t="e">
        <f t="shared" si="40"/>
        <v>#VALUE!</v>
      </c>
      <c r="T19" s="48" t="e">
        <f t="shared" si="40"/>
        <v>#VALUE!</v>
      </c>
      <c r="U19" s="48" t="e">
        <f t="shared" si="40"/>
        <v>#VALUE!</v>
      </c>
      <c r="V19" s="48" t="e">
        <f t="shared" si="40"/>
        <v>#VALUE!</v>
      </c>
      <c r="W19" s="48" t="e">
        <f t="shared" si="40"/>
        <v>#VALUE!</v>
      </c>
      <c r="X19" s="48" t="e">
        <f t="shared" si="40"/>
        <v>#VALUE!</v>
      </c>
      <c r="Y19" s="48" t="e">
        <f t="shared" si="40"/>
        <v>#VALUE!</v>
      </c>
      <c r="Z19" s="48" t="e">
        <f t="shared" si="40"/>
        <v>#VALUE!</v>
      </c>
      <c r="AA19" s="48" t="e">
        <f t="shared" si="40"/>
        <v>#VALUE!</v>
      </c>
      <c r="AB19" s="48" t="e">
        <f t="shared" si="40"/>
        <v>#VALUE!</v>
      </c>
      <c r="AC19" s="48" t="e">
        <f t="shared" si="40"/>
        <v>#VALUE!</v>
      </c>
      <c r="AD19" s="48" t="e">
        <f t="shared" si="40"/>
        <v>#VALUE!</v>
      </c>
      <c r="AE19" s="48" t="e">
        <f t="shared" si="40"/>
        <v>#VALUE!</v>
      </c>
      <c r="AF19" s="48" t="e">
        <f t="shared" si="40"/>
        <v>#VALUE!</v>
      </c>
      <c r="AG19" s="48" t="e">
        <f t="shared" si="40"/>
        <v>#VALUE!</v>
      </c>
      <c r="AH19" s="48" t="e">
        <f t="shared" si="40"/>
        <v>#VALUE!</v>
      </c>
      <c r="AI19" s="48" t="e">
        <f t="shared" si="40"/>
        <v>#VALUE!</v>
      </c>
      <c r="AJ19" s="48" t="e">
        <f t="shared" si="40"/>
        <v>#VALUE!</v>
      </c>
      <c r="AK19" s="48" t="e">
        <f t="shared" si="40"/>
        <v>#VALUE!</v>
      </c>
      <c r="AL19" s="48" t="e">
        <f t="shared" si="40"/>
        <v>#VALUE!</v>
      </c>
      <c r="AM19" s="48" t="e">
        <f t="shared" si="40"/>
        <v>#VALUE!</v>
      </c>
      <c r="AN19" s="48" t="e">
        <f t="shared" si="40"/>
        <v>#VALUE!</v>
      </c>
      <c r="AO19" s="48" t="e">
        <f t="shared" si="40"/>
        <v>#VALUE!</v>
      </c>
      <c r="AP19" s="48" t="e">
        <f t="shared" si="40"/>
        <v>#VALUE!</v>
      </c>
      <c r="AQ19" s="48" t="e">
        <f t="shared" si="40"/>
        <v>#VALUE!</v>
      </c>
      <c r="AR19" s="48" t="e">
        <f t="shared" si="40"/>
        <v>#VALUE!</v>
      </c>
      <c r="AS19" s="48" t="e">
        <f t="shared" si="40"/>
        <v>#VALUE!</v>
      </c>
      <c r="AT19" s="48" t="e">
        <f t="shared" si="40"/>
        <v>#VALUE!</v>
      </c>
      <c r="AU19" s="48" t="e">
        <f t="shared" si="40"/>
        <v>#VALUE!</v>
      </c>
      <c r="AV19" s="48" t="e">
        <f t="shared" si="40"/>
        <v>#VALUE!</v>
      </c>
      <c r="AW19" s="48" t="e">
        <f t="shared" si="40"/>
        <v>#VALUE!</v>
      </c>
      <c r="AX19" s="48" t="e">
        <f t="shared" si="40"/>
        <v>#VALUE!</v>
      </c>
      <c r="AY19" s="48" t="e">
        <f t="shared" si="40"/>
        <v>#VALUE!</v>
      </c>
      <c r="AZ19" s="48" t="e">
        <f t="shared" si="40"/>
        <v>#VALUE!</v>
      </c>
      <c r="BA19" s="48" t="e">
        <f t="shared" ref="BA19:CF19" si="41">IF(BA6&lt;&gt;BA16,IF(BA6&lt;&gt;BA17,IF(BA6&lt;&gt;BA18,0,1),1),1)</f>
        <v>#VALUE!</v>
      </c>
      <c r="BB19" s="48" t="e">
        <f t="shared" si="41"/>
        <v>#VALUE!</v>
      </c>
      <c r="BC19" s="48" t="e">
        <f t="shared" si="41"/>
        <v>#VALUE!</v>
      </c>
      <c r="BD19" s="48" t="e">
        <f t="shared" si="41"/>
        <v>#VALUE!</v>
      </c>
      <c r="BE19" s="48" t="e">
        <f t="shared" si="41"/>
        <v>#VALUE!</v>
      </c>
      <c r="BF19" s="48" t="e">
        <f t="shared" si="41"/>
        <v>#VALUE!</v>
      </c>
      <c r="BG19" s="48" t="e">
        <f t="shared" si="41"/>
        <v>#VALUE!</v>
      </c>
      <c r="BH19" s="48" t="e">
        <f t="shared" si="41"/>
        <v>#VALUE!</v>
      </c>
      <c r="BI19" s="48" t="e">
        <f t="shared" si="41"/>
        <v>#VALUE!</v>
      </c>
      <c r="BJ19" s="48" t="e">
        <f t="shared" si="41"/>
        <v>#VALUE!</v>
      </c>
      <c r="BK19" s="48" t="e">
        <f t="shared" si="41"/>
        <v>#VALUE!</v>
      </c>
      <c r="BL19" s="48" t="e">
        <f t="shared" si="41"/>
        <v>#VALUE!</v>
      </c>
      <c r="BM19" s="48" t="e">
        <f t="shared" si="41"/>
        <v>#VALUE!</v>
      </c>
      <c r="BN19" s="48" t="e">
        <f t="shared" si="41"/>
        <v>#VALUE!</v>
      </c>
      <c r="BO19" s="48" t="e">
        <f t="shared" si="41"/>
        <v>#VALUE!</v>
      </c>
      <c r="BP19" s="48" t="e">
        <f t="shared" si="41"/>
        <v>#VALUE!</v>
      </c>
      <c r="BQ19" s="48" t="e">
        <f t="shared" si="41"/>
        <v>#VALUE!</v>
      </c>
      <c r="BR19" s="48" t="e">
        <f t="shared" si="41"/>
        <v>#VALUE!</v>
      </c>
      <c r="BS19" s="48" t="e">
        <f t="shared" si="41"/>
        <v>#VALUE!</v>
      </c>
      <c r="BT19" s="48" t="e">
        <f t="shared" si="41"/>
        <v>#VALUE!</v>
      </c>
      <c r="BU19" s="48" t="e">
        <f t="shared" si="41"/>
        <v>#VALUE!</v>
      </c>
      <c r="BV19" s="48" t="e">
        <f t="shared" si="41"/>
        <v>#VALUE!</v>
      </c>
      <c r="BW19" s="48" t="e">
        <f t="shared" si="41"/>
        <v>#VALUE!</v>
      </c>
      <c r="BX19" s="48" t="e">
        <f t="shared" si="41"/>
        <v>#VALUE!</v>
      </c>
      <c r="BY19" s="48" t="e">
        <f t="shared" si="41"/>
        <v>#VALUE!</v>
      </c>
      <c r="BZ19" s="48" t="e">
        <f t="shared" si="41"/>
        <v>#VALUE!</v>
      </c>
      <c r="CA19" s="48" t="e">
        <f t="shared" si="41"/>
        <v>#VALUE!</v>
      </c>
      <c r="CB19" s="48" t="e">
        <f t="shared" si="41"/>
        <v>#VALUE!</v>
      </c>
      <c r="CC19" s="48" t="e">
        <f t="shared" si="41"/>
        <v>#VALUE!</v>
      </c>
      <c r="CD19" s="48" t="e">
        <f t="shared" si="41"/>
        <v>#VALUE!</v>
      </c>
      <c r="CE19" s="48" t="e">
        <f t="shared" si="41"/>
        <v>#VALUE!</v>
      </c>
      <c r="CF19" s="48" t="e">
        <f t="shared" si="41"/>
        <v>#VALUE!</v>
      </c>
      <c r="CG19" s="48" t="e">
        <f t="shared" ref="CG19:DB19" si="42">IF(CG6&lt;&gt;CG16,IF(CG6&lt;&gt;CG17,IF(CG6&lt;&gt;CG18,0,1),1),1)</f>
        <v>#VALUE!</v>
      </c>
      <c r="CH19" s="48" t="e">
        <f t="shared" si="42"/>
        <v>#VALUE!</v>
      </c>
      <c r="CI19" s="48" t="e">
        <f t="shared" si="42"/>
        <v>#VALUE!</v>
      </c>
      <c r="CJ19" s="48" t="e">
        <f t="shared" si="42"/>
        <v>#VALUE!</v>
      </c>
      <c r="CK19" s="48" t="e">
        <f t="shared" si="42"/>
        <v>#VALUE!</v>
      </c>
      <c r="CL19" s="48" t="e">
        <f t="shared" si="42"/>
        <v>#VALUE!</v>
      </c>
      <c r="CM19" s="48" t="e">
        <f t="shared" si="42"/>
        <v>#VALUE!</v>
      </c>
      <c r="CN19" s="48" t="e">
        <f t="shared" si="42"/>
        <v>#VALUE!</v>
      </c>
      <c r="CO19" s="48" t="e">
        <f t="shared" si="42"/>
        <v>#VALUE!</v>
      </c>
      <c r="CP19" s="48" t="e">
        <f t="shared" si="42"/>
        <v>#VALUE!</v>
      </c>
      <c r="CQ19" s="48" t="e">
        <f t="shared" si="42"/>
        <v>#VALUE!</v>
      </c>
      <c r="CR19" s="48" t="e">
        <f t="shared" si="42"/>
        <v>#VALUE!</v>
      </c>
      <c r="CS19" s="48" t="e">
        <f t="shared" si="42"/>
        <v>#VALUE!</v>
      </c>
      <c r="CT19" s="48" t="e">
        <f t="shared" si="42"/>
        <v>#VALUE!</v>
      </c>
      <c r="CU19" s="48" t="e">
        <f t="shared" si="42"/>
        <v>#VALUE!</v>
      </c>
      <c r="CV19" s="48" t="e">
        <f t="shared" si="42"/>
        <v>#VALUE!</v>
      </c>
      <c r="CW19" s="48" t="e">
        <f t="shared" si="42"/>
        <v>#VALUE!</v>
      </c>
      <c r="CX19" s="48" t="e">
        <f t="shared" si="42"/>
        <v>#VALUE!</v>
      </c>
      <c r="CY19" s="48" t="e">
        <f t="shared" si="42"/>
        <v>#VALUE!</v>
      </c>
      <c r="CZ19" s="48" t="e">
        <f t="shared" si="42"/>
        <v>#VALUE!</v>
      </c>
      <c r="DA19" s="48" t="e">
        <f t="shared" si="42"/>
        <v>#VALUE!</v>
      </c>
      <c r="DB19" s="48" t="e">
        <f t="shared" si="42"/>
        <v>#VALUE!</v>
      </c>
    </row>
    <row r="20" spans="1:106" ht="15" customHeight="1">
      <c r="A20" s="37"/>
      <c r="B20" s="161" t="str">
        <f>IF(Demande!L81=TRUE,"Début enquête","")</f>
        <v/>
      </c>
      <c r="C20" s="161" t="str">
        <f>IF(Demande!L81=TRUE,"Fin enquête","")</f>
        <v/>
      </c>
      <c r="D20" s="161" t="str">
        <f>IF(Demande!L81=TRUE,"PV enquête","")</f>
        <v/>
      </c>
      <c r="E20" s="161" t="str">
        <f>IF(Demande!L81=TRUE,"Prolongation","")</f>
        <v/>
      </c>
      <c r="F20" s="161" t="str">
        <f>IF(Demande!L81=TRUE,IF(Demande!L79=1,"Rapport",""),"")</f>
        <v/>
      </c>
      <c r="G20" s="161" t="str">
        <f>IF(Demande!L81=TRUE,"Envoi décision","")</f>
        <v/>
      </c>
      <c r="I20" s="17" t="str">
        <f>IF(G15&lt;&gt;"",DATE(YEAR(J20),7,16),"")</f>
        <v/>
      </c>
      <c r="J20" s="25" t="str">
        <f>IF(G15&lt;&gt;"",IF(AND(E33&lt;&gt;"",B27=""),E33+Demande!M18+Demande!M19,IF(B27&lt;&gt;"",B27,B23)),"")</f>
        <v/>
      </c>
      <c r="K20" s="25" t="str">
        <f>IF(OR(AND(I22&lt;&gt;0,I22&lt;&gt;31),AND(I22=31,B23=I20)),I21+1,J20)</f>
        <v/>
      </c>
      <c r="P20" s="49" t="s">
        <v>57</v>
      </c>
      <c r="Q20" s="59" t="e">
        <f t="shared" ref="Q20:AZ20" si="43">IF(OR(Q15=1,Q19=1),1,0)</f>
        <v>#VALUE!</v>
      </c>
      <c r="R20" s="59" t="e">
        <f t="shared" si="43"/>
        <v>#VALUE!</v>
      </c>
      <c r="S20" s="59" t="e">
        <f t="shared" si="43"/>
        <v>#VALUE!</v>
      </c>
      <c r="T20" s="59" t="e">
        <f t="shared" si="43"/>
        <v>#VALUE!</v>
      </c>
      <c r="U20" s="59" t="e">
        <f t="shared" si="43"/>
        <v>#VALUE!</v>
      </c>
      <c r="V20" s="59" t="e">
        <f t="shared" si="43"/>
        <v>#VALUE!</v>
      </c>
      <c r="W20" s="59" t="e">
        <f t="shared" si="43"/>
        <v>#VALUE!</v>
      </c>
      <c r="X20" s="59" t="e">
        <f t="shared" si="43"/>
        <v>#VALUE!</v>
      </c>
      <c r="Y20" s="59" t="e">
        <f t="shared" si="43"/>
        <v>#VALUE!</v>
      </c>
      <c r="Z20" s="59" t="e">
        <f t="shared" si="43"/>
        <v>#VALUE!</v>
      </c>
      <c r="AA20" s="59" t="e">
        <f t="shared" si="43"/>
        <v>#VALUE!</v>
      </c>
      <c r="AB20" s="59" t="e">
        <f t="shared" si="43"/>
        <v>#VALUE!</v>
      </c>
      <c r="AC20" s="59" t="e">
        <f t="shared" si="43"/>
        <v>#VALUE!</v>
      </c>
      <c r="AD20" s="59" t="e">
        <f t="shared" si="43"/>
        <v>#VALUE!</v>
      </c>
      <c r="AE20" s="59" t="e">
        <f t="shared" si="43"/>
        <v>#VALUE!</v>
      </c>
      <c r="AF20" s="59" t="e">
        <f t="shared" si="43"/>
        <v>#VALUE!</v>
      </c>
      <c r="AG20" s="59" t="e">
        <f t="shared" si="43"/>
        <v>#VALUE!</v>
      </c>
      <c r="AH20" s="59" t="e">
        <f t="shared" si="43"/>
        <v>#VALUE!</v>
      </c>
      <c r="AI20" s="59" t="e">
        <f t="shared" si="43"/>
        <v>#VALUE!</v>
      </c>
      <c r="AJ20" s="59" t="e">
        <f t="shared" si="43"/>
        <v>#VALUE!</v>
      </c>
      <c r="AK20" s="59" t="e">
        <f t="shared" si="43"/>
        <v>#VALUE!</v>
      </c>
      <c r="AL20" s="59" t="e">
        <f t="shared" si="43"/>
        <v>#VALUE!</v>
      </c>
      <c r="AM20" s="59" t="e">
        <f t="shared" si="43"/>
        <v>#VALUE!</v>
      </c>
      <c r="AN20" s="59" t="e">
        <f t="shared" si="43"/>
        <v>#VALUE!</v>
      </c>
      <c r="AO20" s="59" t="e">
        <f t="shared" si="43"/>
        <v>#VALUE!</v>
      </c>
      <c r="AP20" s="59" t="e">
        <f t="shared" si="43"/>
        <v>#VALUE!</v>
      </c>
      <c r="AQ20" s="59" t="e">
        <f t="shared" si="43"/>
        <v>#VALUE!</v>
      </c>
      <c r="AR20" s="59" t="e">
        <f t="shared" si="43"/>
        <v>#VALUE!</v>
      </c>
      <c r="AS20" s="59" t="e">
        <f t="shared" si="43"/>
        <v>#VALUE!</v>
      </c>
      <c r="AT20" s="59" t="e">
        <f t="shared" si="43"/>
        <v>#VALUE!</v>
      </c>
      <c r="AU20" s="59" t="e">
        <f t="shared" si="43"/>
        <v>#VALUE!</v>
      </c>
      <c r="AV20" s="59" t="e">
        <f t="shared" si="43"/>
        <v>#VALUE!</v>
      </c>
      <c r="AW20" s="59" t="e">
        <f t="shared" si="43"/>
        <v>#VALUE!</v>
      </c>
      <c r="AX20" s="59" t="e">
        <f t="shared" si="43"/>
        <v>#VALUE!</v>
      </c>
      <c r="AY20" s="59" t="e">
        <f t="shared" si="43"/>
        <v>#VALUE!</v>
      </c>
      <c r="AZ20" s="59" t="e">
        <f t="shared" si="43"/>
        <v>#VALUE!</v>
      </c>
      <c r="BA20" s="59" t="e">
        <f t="shared" ref="BA20:CF20" si="44">IF(OR(BA15=1,BA19=1),1,0)</f>
        <v>#VALUE!</v>
      </c>
      <c r="BB20" s="59" t="e">
        <f t="shared" si="44"/>
        <v>#VALUE!</v>
      </c>
      <c r="BC20" s="59" t="e">
        <f t="shared" si="44"/>
        <v>#VALUE!</v>
      </c>
      <c r="BD20" s="59" t="e">
        <f t="shared" si="44"/>
        <v>#VALUE!</v>
      </c>
      <c r="BE20" s="59" t="e">
        <f t="shared" si="44"/>
        <v>#VALUE!</v>
      </c>
      <c r="BF20" s="59" t="e">
        <f t="shared" si="44"/>
        <v>#VALUE!</v>
      </c>
      <c r="BG20" s="59" t="e">
        <f t="shared" si="44"/>
        <v>#VALUE!</v>
      </c>
      <c r="BH20" s="59" t="e">
        <f t="shared" si="44"/>
        <v>#VALUE!</v>
      </c>
      <c r="BI20" s="59" t="e">
        <f t="shared" si="44"/>
        <v>#VALUE!</v>
      </c>
      <c r="BJ20" s="59" t="e">
        <f t="shared" si="44"/>
        <v>#VALUE!</v>
      </c>
      <c r="BK20" s="59" t="e">
        <f t="shared" si="44"/>
        <v>#VALUE!</v>
      </c>
      <c r="BL20" s="59" t="e">
        <f t="shared" si="44"/>
        <v>#VALUE!</v>
      </c>
      <c r="BM20" s="59" t="e">
        <f t="shared" si="44"/>
        <v>#VALUE!</v>
      </c>
      <c r="BN20" s="59" t="e">
        <f t="shared" si="44"/>
        <v>#VALUE!</v>
      </c>
      <c r="BO20" s="59" t="e">
        <f t="shared" si="44"/>
        <v>#VALUE!</v>
      </c>
      <c r="BP20" s="59" t="e">
        <f t="shared" si="44"/>
        <v>#VALUE!</v>
      </c>
      <c r="BQ20" s="59" t="e">
        <f t="shared" si="44"/>
        <v>#VALUE!</v>
      </c>
      <c r="BR20" s="59" t="e">
        <f t="shared" si="44"/>
        <v>#VALUE!</v>
      </c>
      <c r="BS20" s="59" t="e">
        <f t="shared" si="44"/>
        <v>#VALUE!</v>
      </c>
      <c r="BT20" s="59" t="e">
        <f t="shared" si="44"/>
        <v>#VALUE!</v>
      </c>
      <c r="BU20" s="59" t="e">
        <f t="shared" si="44"/>
        <v>#VALUE!</v>
      </c>
      <c r="BV20" s="59" t="e">
        <f t="shared" si="44"/>
        <v>#VALUE!</v>
      </c>
      <c r="BW20" s="59" t="e">
        <f t="shared" si="44"/>
        <v>#VALUE!</v>
      </c>
      <c r="BX20" s="59" t="e">
        <f t="shared" si="44"/>
        <v>#VALUE!</v>
      </c>
      <c r="BY20" s="59" t="e">
        <f t="shared" si="44"/>
        <v>#VALUE!</v>
      </c>
      <c r="BZ20" s="59" t="e">
        <f t="shared" si="44"/>
        <v>#VALUE!</v>
      </c>
      <c r="CA20" s="59" t="e">
        <f t="shared" si="44"/>
        <v>#VALUE!</v>
      </c>
      <c r="CB20" s="59" t="e">
        <f t="shared" si="44"/>
        <v>#VALUE!</v>
      </c>
      <c r="CC20" s="59" t="e">
        <f t="shared" si="44"/>
        <v>#VALUE!</v>
      </c>
      <c r="CD20" s="59" t="e">
        <f t="shared" si="44"/>
        <v>#VALUE!</v>
      </c>
      <c r="CE20" s="59" t="e">
        <f t="shared" si="44"/>
        <v>#VALUE!</v>
      </c>
      <c r="CF20" s="59" t="e">
        <f t="shared" si="44"/>
        <v>#VALUE!</v>
      </c>
      <c r="CG20" s="59" t="e">
        <f t="shared" ref="CG20:DB20" si="45">IF(OR(CG15=1,CG19=1),1,0)</f>
        <v>#VALUE!</v>
      </c>
      <c r="CH20" s="59" t="e">
        <f t="shared" si="45"/>
        <v>#VALUE!</v>
      </c>
      <c r="CI20" s="59" t="e">
        <f t="shared" si="45"/>
        <v>#VALUE!</v>
      </c>
      <c r="CJ20" s="59" t="e">
        <f t="shared" si="45"/>
        <v>#VALUE!</v>
      </c>
      <c r="CK20" s="59" t="e">
        <f t="shared" si="45"/>
        <v>#VALUE!</v>
      </c>
      <c r="CL20" s="59" t="e">
        <f t="shared" si="45"/>
        <v>#VALUE!</v>
      </c>
      <c r="CM20" s="59" t="e">
        <f t="shared" si="45"/>
        <v>#VALUE!</v>
      </c>
      <c r="CN20" s="59" t="e">
        <f t="shared" si="45"/>
        <v>#VALUE!</v>
      </c>
      <c r="CO20" s="59" t="e">
        <f t="shared" si="45"/>
        <v>#VALUE!</v>
      </c>
      <c r="CP20" s="59" t="e">
        <f t="shared" si="45"/>
        <v>#VALUE!</v>
      </c>
      <c r="CQ20" s="59" t="e">
        <f t="shared" si="45"/>
        <v>#VALUE!</v>
      </c>
      <c r="CR20" s="59" t="e">
        <f t="shared" si="45"/>
        <v>#VALUE!</v>
      </c>
      <c r="CS20" s="59" t="e">
        <f t="shared" si="45"/>
        <v>#VALUE!</v>
      </c>
      <c r="CT20" s="59" t="e">
        <f t="shared" si="45"/>
        <v>#VALUE!</v>
      </c>
      <c r="CU20" s="59" t="e">
        <f t="shared" si="45"/>
        <v>#VALUE!</v>
      </c>
      <c r="CV20" s="59" t="e">
        <f t="shared" si="45"/>
        <v>#VALUE!</v>
      </c>
      <c r="CW20" s="59" t="e">
        <f t="shared" si="45"/>
        <v>#VALUE!</v>
      </c>
      <c r="CX20" s="59" t="e">
        <f t="shared" si="45"/>
        <v>#VALUE!</v>
      </c>
      <c r="CY20" s="59" t="e">
        <f t="shared" si="45"/>
        <v>#VALUE!</v>
      </c>
      <c r="CZ20" s="59" t="e">
        <f t="shared" si="45"/>
        <v>#VALUE!</v>
      </c>
      <c r="DA20" s="59" t="e">
        <f t="shared" si="45"/>
        <v>#VALUE!</v>
      </c>
      <c r="DB20" s="59" t="e">
        <f t="shared" si="45"/>
        <v>#VALUE!</v>
      </c>
    </row>
    <row r="21" spans="1:106" ht="15" customHeight="1">
      <c r="A21" s="37" t="s">
        <v>34</v>
      </c>
      <c r="B21" s="41" t="str">
        <f>IF(G15&lt;&gt;"",IF(OR(Demande!L83=3,Demande!L83=5,Demande!L83=6),Demande!M18+Demande!M19,""),"")</f>
        <v/>
      </c>
      <c r="C21" s="41" t="str">
        <f>IF(G15&lt;&gt;"",IF(OR(Demande!L83=3,Demande!L83=5,Demande!L83=6),IF(OR(Demande!L75=1,Demande!L76=TRUE),Demande!M16,Demande!M17),""),"")</f>
        <v/>
      </c>
      <c r="D21" s="41" t="str">
        <f>IF(G15&lt;&gt;"",IF(OR(Demande!L83=3,Demande!L83=5,Demande!L83=6),Demande!M20,""),"")</f>
        <v/>
      </c>
      <c r="E21" s="61"/>
      <c r="F21" s="41" t="str">
        <f>IF(Demande!L81=TRUE,IF(Demande!L79=1,IF(G15&lt;&gt;"",IF(OR(Demande!L75=1,Demande!L76=TRUE,Demande!L83=5,Demande!L83=6),Demande!M9,Demande!M8+IF(Demande!L76=TRUE,Demande!M16-Demande!M16,0))+Z67+I6+E21,""),""),"")</f>
        <v/>
      </c>
      <c r="G21" s="41" t="str">
        <f>IF(Demande!L81=TRUE,IF(I4=1,IF(OR(Demande!L75=1,Demande!L76=TRUE,Demande!L83=6),Demande!M13+AC67,Demande!M11+AC67),IF(G15&lt;&gt;"",AD52+AC67+I6+E21,"")),"")</f>
        <v/>
      </c>
      <c r="I21" s="17" t="str">
        <f>IF(G15&lt;&gt;"",I20+30,"")</f>
        <v/>
      </c>
      <c r="J21" s="25" t="str">
        <f>IF(B23&lt;&gt;"",AF26+AF42,"")</f>
        <v/>
      </c>
      <c r="P21" s="1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</row>
    <row r="22" spans="1:106" ht="15" customHeight="1">
      <c r="A22" s="37" t="s">
        <v>37</v>
      </c>
      <c r="B22" s="43" t="str">
        <f>IF(OR(Demande!L83=3,Demande!L83=5,Demande!L83=6),IF(B27&lt;&gt;"",B27-IF(E33&lt;&gt;"",E33,G15),""),"")</f>
        <v/>
      </c>
      <c r="C22" s="273" t="str">
        <f>IF(OR(Demande!L83=3,Demande!L83=5,Demande!L83=6),IF(AND(B27&lt;&gt;"",C27&lt;&gt;""),C27-B27+1-MAX(I22,I26),""),"")</f>
        <v/>
      </c>
      <c r="D22" s="43" t="str">
        <f>IF(G15&lt;&gt;"",IF(D26&lt;&gt;"",D26-C28,""),"")</f>
        <v/>
      </c>
      <c r="E22" s="62"/>
      <c r="F22" s="43" t="str">
        <f>IF(Demande!$L$79=1,IF(F17&lt;&gt;"",IF(F26&lt;&gt;"",F26-G15,""),""),"")</f>
        <v/>
      </c>
      <c r="G22" s="43" t="str">
        <f>IF(F17&lt;&gt;"",IF(G26&lt;&gt;"",IF(F27&lt;&gt;"",G26-F27,G26-G15),""),"")</f>
        <v/>
      </c>
      <c r="I22" s="64">
        <f>IF(G15&lt;&gt;"",IF(B23&lt;&gt;"",IF(AND(J20&lt;=I20,J21&gt;=I20),31,IF(AND(J20&gt;=I20,J21&lt;=I21),I21-J20+1,IF(AND(J20&gt;I20,J20&lt;=I21,J21&gt;=I21),I21-J20+1,0))),0),0)</f>
        <v>0</v>
      </c>
      <c r="J22" s="25" t="str">
        <f>IF(G15&lt;&gt;"",IF(B27&lt;&gt;"",AC26+AC42,IF(B23&lt;&gt;"",Z26+Z42,"")),"")</f>
        <v/>
      </c>
      <c r="K22" s="322">
        <f>IF(G15&lt;&gt;"",IF(B23&lt;&gt;"",IF(AND(B23&lt;=I20,J21&gt;=I20),31,IF(AND(B23&gt;=I20,J21&lt;=I21),I21-B23+1,IF(AND(B23&gt;I20,B23&lt;=I21,J21&gt;=I21),I21-B23+1,0))),0),0)</f>
        <v>0</v>
      </c>
      <c r="P22" s="1" t="s">
        <v>63</v>
      </c>
      <c r="Q22" s="10" t="e">
        <f>IF(AND(Q7&lt;&gt;"samedi",Q7&lt;&gt;"dimanche"),IF(AND(Q20=1,Q7="vendredi"),3,IF(AND(Q20=1,Q7="samedi"),2,IF(Q20=1,1,0))),IF(AND(Q7="samedi",S20=1),3,IF(Q7="samedi",2,IF(AND(Q7="dimanche",R20=1),2,1))))</f>
        <v>#VALUE!</v>
      </c>
      <c r="R22" s="6"/>
      <c r="S22" s="6"/>
      <c r="T22" s="10" t="e">
        <f>IF(AND(T7&lt;&gt;"samedi",T7&lt;&gt;"dimanche"),IF(AND(T20=1,T7="vendredi"),3,IF(AND(T20=1,T7="samedi"),2,IF(T20=1,1,0))),IF(AND(T7="samedi",V20=1),3,IF(T7="samedi",2,IF(AND(T7="dimanche",U20=1),2,1))))</f>
        <v>#VALUE!</v>
      </c>
      <c r="U22" s="6"/>
      <c r="V22" s="6"/>
      <c r="W22" s="10" t="e">
        <f>IF(AND(W7&lt;&gt;"samedi",W7&lt;&gt;"dimanche"),IF(AND(W20=1,W7="vendredi"),3,IF(AND(W20=1,W7="samedi"),2,IF(W20=1,1,0))),IF(AND(W7="samedi",Y20=1),3,IF(W7="samedi",2,IF(AND(W7="dimanche",X20=1),2,1))))</f>
        <v>#VALUE!</v>
      </c>
      <c r="X22" s="6"/>
      <c r="Y22" s="6"/>
      <c r="Z22" s="10" t="e">
        <f>IF(AND(Z7&lt;&gt;"samedi",Z7&lt;&gt;"dimanche"),IF(AND(Z20=1,Z7="vendredi"),3,IF(AND(Z20=1,Z7="samedi"),2,IF(Z20=1,1,0))),IF(AND(Z7="samedi",AB20=1),3,IF(Z7="samedi",2,IF(AND(Z7="dimanche",AA20=1),2,1))))</f>
        <v>#VALUE!</v>
      </c>
      <c r="AA22" s="6"/>
      <c r="AB22" s="6"/>
      <c r="AC22" s="10" t="e">
        <f>IF(AND(AC7&lt;&gt;"samedi",AC7&lt;&gt;"dimanche"),IF(AND(AC20=1,AC7="vendredi"),3,IF(AND(AC20=1,AC7="samedi"),2,IF(AC20=1,1,0))),IF(AND(AC7="samedi",AE20=1),3,IF(AC7="samedi",2,IF(AND(AC7="dimanche",AD20=1),2,1))))</f>
        <v>#VALUE!</v>
      </c>
      <c r="AD22" s="6"/>
      <c r="AE22" s="6"/>
      <c r="AF22" s="10" t="e">
        <f>IF(AND(AF7&lt;&gt;"samedi",AF7&lt;&gt;"dimanche"),IF(AND(AF20=1,AF7="vendredi"),3,IF(AND(AF20=1,AF7="samedi"),2,IF(AF20=1,1,0))),IF(AND(AF7="samedi",AH20=1),3,IF(AF7="samedi",2,IF(AND(AF7="dimanche",AG20=1),2,1))))</f>
        <v>#VALUE!</v>
      </c>
      <c r="AG22" s="6"/>
      <c r="AH22" s="6"/>
      <c r="AI22" s="10" t="e">
        <f>IF(AND(AI7&lt;&gt;"samedi",AI7&lt;&gt;"dimanche"),IF(AND(AI20=1,AI7="vendredi"),3,IF(AND(AI20=1,AI7="samedi"),2,IF(AI20=1,1,0))),IF(AND(AI7="samedi",AK20=1),3,IF(AI7="samedi",2,IF(AND(AI7="dimanche",AJ20=1),2,1))))</f>
        <v>#VALUE!</v>
      </c>
      <c r="AJ22" s="6"/>
      <c r="AK22" s="6"/>
      <c r="AL22" s="10" t="e">
        <f>IF(AND(AL7&lt;&gt;"samedi",AL7&lt;&gt;"dimanche"),IF(AND(AL20=1,AL7="vendredi"),3,IF(AND(AL20=1,AL7="samedi"),2,IF(AL20=1,1,0))),IF(AND(AL7="samedi",AN20=1),3,IF(AL7="samedi",2,IF(AND(AL7="dimanche",AM20=1),2,1))))</f>
        <v>#VALUE!</v>
      </c>
      <c r="AM22" s="6"/>
      <c r="AN22" s="6"/>
      <c r="AO22" s="10" t="e">
        <f>IF(AND(AO7&lt;&gt;"samedi",AO7&lt;&gt;"dimanche"),IF(AND(AO20=1,AO7="vendredi"),3,IF(AND(AO20=1,AO7="samedi"),2,IF(AO20=1,1,0))),IF(AND(AO7="samedi",AQ20=1),3,IF(AO7="samedi",2,IF(AND(AO7="dimanche",AP20=1),2,1))))</f>
        <v>#VALUE!</v>
      </c>
      <c r="AP22" s="6"/>
      <c r="AQ22" s="6"/>
      <c r="AR22" s="10" t="e">
        <f>IF(AND(AR7&lt;&gt;"samedi",AR7&lt;&gt;"dimanche"),IF(AND(AR20=1,AR7="vendredi"),3,IF(AND(AR20=1,AR7="samedi"),2,IF(AR20=1,1,0))),IF(AND(AR7="samedi",AT20=1),3,IF(AR7="samedi",2,IF(AND(AR7="dimanche",AS20=1),2,1))))</f>
        <v>#VALUE!</v>
      </c>
      <c r="AS22" s="6"/>
      <c r="AT22" s="6"/>
      <c r="AU22" s="10" t="e">
        <f>IF(AND(AU7&lt;&gt;"samedi",AU7&lt;&gt;"dimanche"),IF(AND(AU20=1,AU7="vendredi"),3,IF(AND(AU20=1,AU7="samedi"),2,IF(AU20=1,1,0))),IF(AND(AU7="samedi",AW20=1),3,IF(AU7="samedi",2,IF(AND(AU7="dimanche",AV20=1),2,1))))</f>
        <v>#VALUE!</v>
      </c>
      <c r="AV22" s="6"/>
      <c r="AW22" s="6"/>
      <c r="AX22" s="10" t="e">
        <f>IF(AND(AX7&lt;&gt;"samedi",AX7&lt;&gt;"dimanche"),IF(AND(AX20=1,AX7="vendredi"),3,IF(AND(AX20=1,AX7="samedi"),2,IF(AX20=1,1,0))),IF(AND(AX7="samedi",AZ20=1),3,IF(AX7="samedi",2,IF(AND(AX7="dimanche",AY20=1),2,1))))</f>
        <v>#VALUE!</v>
      </c>
      <c r="AY22" s="6"/>
      <c r="AZ22" s="6"/>
      <c r="BA22" s="10" t="e">
        <f>IF(AND(BA7&lt;&gt;"samedi",BA7&lt;&gt;"dimanche"),IF(AND(BA20=1,BA7="vendredi"),3,IF(AND(BA20=1,BA7="samedi"),2,IF(BA20=1,1,0))),IF(AND(BA7="samedi",BC20=1),3,IF(BA7="samedi",2,IF(AND(BA7="dimanche",BB20=1),2,1))))</f>
        <v>#VALUE!</v>
      </c>
      <c r="BB22" s="6"/>
      <c r="BC22" s="6"/>
      <c r="BD22" s="10" t="e">
        <f>IF(AND(BD7&lt;&gt;"samedi",BD7&lt;&gt;"dimanche"),IF(AND(BD20=1,BD7="vendredi"),3,IF(AND(BD20=1,BD7="samedi"),2,IF(BD20=1,1,0))),IF(AND(BD7="samedi",BF20=1),3,IF(BD7="samedi",2,IF(AND(BD7="dimanche",BE20=1),2,1))))</f>
        <v>#VALUE!</v>
      </c>
      <c r="BE22" s="6"/>
      <c r="BF22" s="6"/>
      <c r="BG22" s="10" t="e">
        <f>IF(AND(BG7&lt;&gt;"samedi",BG7&lt;&gt;"dimanche"),IF(AND(BG20=1,BG7="vendredi"),3,IF(AND(BG20=1,BG7="samedi"),2,IF(BG20=1,1,0))),IF(AND(BG7="samedi",BI20=1),3,IF(BG7="samedi",2,IF(AND(BG7="dimanche",BH20=1),2,1))))</f>
        <v>#VALUE!</v>
      </c>
      <c r="BH22" s="6"/>
      <c r="BI22" s="6"/>
      <c r="BJ22" s="10" t="e">
        <f>IF(AND(BJ7&lt;&gt;"samedi",BJ7&lt;&gt;"dimanche"),IF(AND(BJ20=1,BJ7="vendredi"),3,IF(AND(BJ20=1,BJ7="samedi"),2,IF(BJ20=1,1,0))),IF(AND(BJ7="samedi",BL20=1),3,IF(BJ7="samedi",2,IF(AND(BJ7="dimanche",BK20=1),2,1))))</f>
        <v>#VALUE!</v>
      </c>
      <c r="BK22" s="6"/>
      <c r="BL22" s="6"/>
      <c r="BM22" s="10" t="e">
        <f>IF(AND(BM7&lt;&gt;"samedi",BM7&lt;&gt;"dimanche"),IF(AND(BM20=1,BM7="vendredi"),3,IF(AND(BM20=1,BM7="samedi"),2,IF(BM20=1,1,0))),IF(AND(BM7="samedi",BO20=1),3,IF(BM7="samedi",2,IF(AND(BM7="dimanche",BN20=1),2,1))))</f>
        <v>#VALUE!</v>
      </c>
      <c r="BN22" s="6"/>
      <c r="BO22" s="6"/>
      <c r="BP22" s="10" t="e">
        <f>IF(AND(BP7&lt;&gt;"samedi",BP7&lt;&gt;"dimanche"),IF(AND(BP20=1,BP7="vendredi"),3,IF(AND(BP20=1,BP7="samedi"),2,IF(BP20=1,1,0))),IF(AND(BP7="samedi",BR20=1),3,IF(BP7="samedi",2,IF(AND(BP7="dimanche",BQ20=1),2,1))))</f>
        <v>#VALUE!</v>
      </c>
      <c r="BQ22" s="6"/>
      <c r="BR22" s="6"/>
      <c r="BS22" s="10" t="e">
        <f>IF(AND(BS7&lt;&gt;"samedi",BS7&lt;&gt;"dimanche"),IF(AND(BS20=1,BS7="vendredi"),3,IF(AND(BS20=1,BS7="samedi"),2,IF(BS20=1,1,0))),IF(AND(BS7="samedi",BU20=1),3,IF(BS7="samedi",2,IF(AND(BS7="dimanche",BT20=1),2,1))))</f>
        <v>#VALUE!</v>
      </c>
      <c r="BT22" s="6"/>
      <c r="BU22" s="6"/>
      <c r="BV22" s="10" t="e">
        <f>IF(AND(BV7&lt;&gt;"samedi",BV7&lt;&gt;"dimanche"),IF(AND(BV20=1,BV7="vendredi"),3,IF(AND(BV20=1,BV7="samedi"),2,IF(BV20=1,1,0))),IF(AND(BV7="samedi",BX20=1),3,IF(BV7="samedi",2,IF(AND(BV7="dimanche",BW20=1),2,1))))</f>
        <v>#VALUE!</v>
      </c>
      <c r="BW22" s="6"/>
      <c r="BX22" s="6"/>
      <c r="BY22" s="10" t="e">
        <f>IF(AND(BY7&lt;&gt;"samedi",BY7&lt;&gt;"dimanche"),IF(AND(BY20=1,BY7="vendredi"),3,IF(AND(BY20=1,BY7="samedi"),2,IF(BY20=1,1,0))),IF(AND(BY7="samedi",CA20=1),3,IF(BY7="samedi",2,IF(AND(BY7="dimanche",BZ20=1),2,1))))</f>
        <v>#VALUE!</v>
      </c>
      <c r="BZ22" s="6"/>
      <c r="CA22" s="6"/>
      <c r="CB22" s="10" t="e">
        <f>IF(AND(CB7&lt;&gt;"samedi",CB7&lt;&gt;"dimanche"),IF(AND(CB20=1,CB7="vendredi"),3,IF(AND(CB20=1,CB7="samedi"),2,IF(CB20=1,1,0))),IF(AND(CB7="samedi",CD20=1),3,IF(CB7="samedi",2,IF(AND(CB7="dimanche",CC20=1),2,1))))</f>
        <v>#VALUE!</v>
      </c>
      <c r="CC22" s="6"/>
      <c r="CD22" s="6"/>
      <c r="CE22" s="10" t="e">
        <f>IF(AND(CE7&lt;&gt;"samedi",CE7&lt;&gt;"dimanche"),IF(AND(CE20=1,CE7="vendredi"),3,IF(AND(CE20=1,CE7="samedi"),2,IF(CE20=1,1,0))),IF(AND(CE7="samedi",CG20=1),3,IF(CE7="samedi",2,IF(AND(CE7="dimanche",CF20=1),2,1))))</f>
        <v>#VALUE!</v>
      </c>
      <c r="CF22" s="6"/>
      <c r="CG22" s="6"/>
      <c r="CH22" s="10" t="e">
        <f>IF(AND(CH7&lt;&gt;"samedi",CH7&lt;&gt;"dimanche"),IF(AND(CH20=1,CH7="vendredi"),3,IF(AND(CH20=1,CH7="samedi"),2,IF(CH20=1,1,0))),IF(AND(CH7="samedi",CJ20=1),3,IF(CH7="samedi",2,IF(AND(CH7="dimanche",CI20=1),2,1))))</f>
        <v>#VALUE!</v>
      </c>
      <c r="CI22" s="6"/>
      <c r="CJ22" s="6"/>
      <c r="CK22" s="10" t="e">
        <f>IF(AND(CK7&lt;&gt;"samedi",CK7&lt;&gt;"dimanche"),IF(AND(CK20=1,CK7="vendredi"),3,IF(AND(CK20=1,CK7="samedi"),2,IF(CK20=1,1,0))),IF(AND(CK7="samedi",CM20=1),3,IF(CK7="samedi",2,IF(AND(CK7="dimanche",CL20=1),2,1))))</f>
        <v>#VALUE!</v>
      </c>
      <c r="CL22" s="6"/>
      <c r="CM22" s="6"/>
      <c r="CN22" s="10" t="e">
        <f>IF(AND(CN7&lt;&gt;"samedi",CN7&lt;&gt;"dimanche"),IF(AND(CN20=1,CN7="vendredi"),3,IF(AND(CN20=1,CN7="samedi"),2,IF(CN20=1,1,0))),IF(AND(CN7="samedi",CP20=1),3,IF(CN7="samedi",2,IF(AND(CN7="dimanche",CO20=1),2,1))))</f>
        <v>#VALUE!</v>
      </c>
      <c r="CO22" s="6"/>
      <c r="CP22" s="6"/>
      <c r="CQ22" s="10" t="e">
        <f>IF(AND(CQ7&lt;&gt;"samedi",CQ7&lt;&gt;"dimanche"),IF(AND(CQ20=1,CQ7="vendredi"),3,IF(AND(CQ20=1,CQ7="samedi"),2,IF(CQ20=1,1,0))),IF(AND(CQ7="samedi",CS20=1),3,IF(CQ7="samedi",2,IF(AND(CQ7="dimanche",CR20=1),2,1))))</f>
        <v>#VALUE!</v>
      </c>
      <c r="CR22" s="6"/>
      <c r="CS22" s="6"/>
      <c r="CT22" s="10" t="e">
        <f>IF(AND(CT7&lt;&gt;"samedi",CT7&lt;&gt;"dimanche"),IF(AND(CT20=1,CT7="vendredi"),3,IF(AND(CT20=1,CT7="samedi"),2,IF(CT20=1,1,0))),IF(AND(CT7="samedi",CV20=1),3,IF(CT7="samedi",2,IF(AND(CT7="dimanche",CU20=1),2,1))))</f>
        <v>#VALUE!</v>
      </c>
      <c r="CU22" s="6"/>
      <c r="CV22" s="6"/>
      <c r="CW22" s="10" t="e">
        <f>IF(AND(CW7&lt;&gt;"samedi",CW7&lt;&gt;"dimanche"),IF(AND(CW20=1,CW7="vendredi"),3,IF(AND(CW20=1,CW7="samedi"),2,IF(CW20=1,1,0))),IF(AND(CW7="samedi",CY20=1),3,IF(CW7="samedi",2,IF(AND(CW7="dimanche",CX20=1),2,1))))</f>
        <v>#VALUE!</v>
      </c>
      <c r="CX22" s="6"/>
      <c r="CY22" s="6"/>
      <c r="CZ22" s="10" t="e">
        <f>IF(AND(CZ7&lt;&gt;"samedi",CZ7&lt;&gt;"dimanche"),IF(AND(CZ20=1,CZ7="vendredi"),3,IF(AND(CZ20=1,CZ7="samedi"),2,IF(CZ20=1,1,0))),IF(AND(CZ7="samedi",DB20=1),3,IF(CZ7="samedi",2,IF(AND(CZ7="dimanche",DA20=1),2,1))))</f>
        <v>#VALUE!</v>
      </c>
      <c r="DA22" s="6"/>
      <c r="DB22" s="6"/>
    </row>
    <row r="23" spans="1:106" ht="15" customHeight="1">
      <c r="A23" s="274" t="s">
        <v>1050</v>
      </c>
      <c r="B23" s="46" t="str">
        <f>IF(G15&lt;&gt;"",IF(OR(Demande!L83=3,Demande!L83=5,Demande!L83=6),IF(B28&lt;&gt;"",B28+Demande!M19,IF(F33&lt;&gt;"",F33+B21,IF(E33&lt;&gt;"",E33+B21,G15+B21))),""),"")</f>
        <v/>
      </c>
      <c r="C23" s="46" t="str">
        <f>IF(OR(Demande!L83=3,Demande!L83=5,Demande!L83=6),IF(B23&lt;&gt;"",J22,""),"")</f>
        <v/>
      </c>
      <c r="D23" s="46" t="str">
        <f>IF(B23&lt;&gt;"",IF(OR(Demande!L83=3,Demande!L83=5,Demande!L83=6),IF(C27&lt;&gt;"",C27+D21,C23+D21),""),"")</f>
        <v/>
      </c>
      <c r="E23" s="146" t="str">
        <f>IF(Demande!L81=TRUE,IF(W26&lt;&gt;"",W26+W42,""),"")</f>
        <v/>
      </c>
      <c r="F23" s="46" t="str">
        <f>IF(Demande!L79=1,I33,"")</f>
        <v/>
      </c>
      <c r="G23" s="46" t="str">
        <f>IF(G14&lt;&gt;"",IF(AND(F26&lt;&gt;"",F26&lt;=F23,OR(Demande!L83=2,Demande!L83=3,Demande!L83=6)),IF(F27&lt;&gt;"",F27+G21,""),AC51+AC67),"")</f>
        <v/>
      </c>
      <c r="I23" s="1"/>
      <c r="J23" s="198" t="s">
        <v>1013</v>
      </c>
    </row>
    <row r="24" spans="1:106" ht="15" customHeight="1">
      <c r="A24" s="37" t="s">
        <v>44</v>
      </c>
      <c r="B24" s="50" t="str">
        <f>IF(G15&lt;&gt;"",IF(OR(Demande!L83=3,Demande!L83=5,Demande!L83=6),IF(B27="",B23,IF(I26&lt;&gt;0,K24,IF(I22&lt;&gt;0,K20,B27))),""),"")</f>
        <v/>
      </c>
      <c r="C24" s="50" t="str">
        <f>IF(OR(Demande!L83=3,Demande!L83=5,Demande!L83=6),IF(C27&lt;&gt;"",C27,IF(G15&lt;&gt;"",J22,"")),"")</f>
        <v/>
      </c>
      <c r="D24" s="50" t="str">
        <f>IF(B24&lt;&gt;"",IF(G15&lt;&gt;"",IF(D26&lt;&gt;"",D26,IF(C27&lt;&gt;"",C27+D21,C24+D21)),""),"")</f>
        <v/>
      </c>
      <c r="E24" s="150"/>
      <c r="F24" s="50" t="str">
        <f>IF(Demande!L79=1,IF(F26&gt;I33,I33,IF(F26&lt;&gt;"",F26,I33)),"")</f>
        <v/>
      </c>
      <c r="G24" s="50" t="str">
        <f>IF(G26&lt;&gt;"",G26,G23)</f>
        <v/>
      </c>
      <c r="I24" s="17" t="str">
        <f>IF(G15&lt;&gt;"",IF(B28&lt;&gt;"",DATE(YEAR(B28),12,24),IF(B23&lt;&gt;"",DATE(YEAR(B23-1),12,24),"")),"")</f>
        <v/>
      </c>
      <c r="J24" s="25" t="str">
        <f>IF(G15&lt;&gt;"",IF(OR(Demande!L83=3,Demande!L83=6),IF(AND(J20&gt;=I24,J20&lt;=I25),I25+1,IF(B27&lt;&gt;"",B27,B23)),""),"")</f>
        <v/>
      </c>
      <c r="K24" s="25" t="str">
        <f>IF(AND(I26&lt;&gt;0,I26&lt;&gt;9),I25+1,J24)</f>
        <v/>
      </c>
      <c r="P24" s="1"/>
      <c r="Q24" s="293" t="s">
        <v>982</v>
      </c>
      <c r="R24" s="290"/>
      <c r="S24" s="291"/>
      <c r="T24" s="292" t="s">
        <v>983</v>
      </c>
      <c r="U24" s="290"/>
      <c r="V24" s="290"/>
      <c r="W24" s="292" t="s">
        <v>62</v>
      </c>
      <c r="X24" s="290"/>
      <c r="Y24" s="295"/>
      <c r="Z24" s="180" t="s">
        <v>1068</v>
      </c>
      <c r="AA24" s="81"/>
      <c r="AB24" s="298"/>
      <c r="AC24" s="180" t="s">
        <v>1078</v>
      </c>
      <c r="AD24" s="81"/>
      <c r="AE24" s="298"/>
      <c r="AF24" s="180" t="s">
        <v>1090</v>
      </c>
      <c r="AG24" s="81"/>
      <c r="AH24" s="298"/>
    </row>
    <row r="25" spans="1:106" ht="15" customHeight="1">
      <c r="A25" s="4" t="s">
        <v>47</v>
      </c>
      <c r="B25" s="50" t="str">
        <f>TEXT(B24,"jjjj")</f>
        <v/>
      </c>
      <c r="C25" s="50" t="str">
        <f>TEXT(C24,"jjjj")</f>
        <v/>
      </c>
      <c r="D25" s="50" t="str">
        <f>TEXT(D24,"jjjj")</f>
        <v/>
      </c>
      <c r="E25" s="1"/>
      <c r="F25" s="50" t="str">
        <f>IF(F24&lt;&gt;"",TEXT(F24,"jjjj"),"")</f>
        <v/>
      </c>
      <c r="G25" s="50" t="str">
        <f>IF(G24&lt;&gt;"",TEXT(G24,"jjjj"),"")</f>
        <v/>
      </c>
      <c r="I25" s="17" t="str">
        <f>IF(G15&lt;&gt;"",IF(B23&lt;&gt;"",I24+8,""),"")</f>
        <v/>
      </c>
      <c r="J25" s="199"/>
      <c r="P25" s="1"/>
      <c r="Q25" s="182" t="s">
        <v>24</v>
      </c>
      <c r="R25" s="22" t="s">
        <v>25</v>
      </c>
      <c r="S25" s="163" t="s">
        <v>26</v>
      </c>
      <c r="T25" s="168" t="s">
        <v>24</v>
      </c>
      <c r="U25" s="22" t="s">
        <v>25</v>
      </c>
      <c r="V25" s="22" t="s">
        <v>26</v>
      </c>
      <c r="W25" s="168" t="s">
        <v>24</v>
      </c>
      <c r="X25" s="22" t="s">
        <v>25</v>
      </c>
      <c r="Y25" s="284" t="s">
        <v>26</v>
      </c>
      <c r="Z25" s="305" t="s">
        <v>24</v>
      </c>
      <c r="AA25" s="306" t="s">
        <v>25</v>
      </c>
      <c r="AB25" s="307" t="s">
        <v>26</v>
      </c>
      <c r="AC25" s="305" t="s">
        <v>24</v>
      </c>
      <c r="AD25" s="306" t="s">
        <v>25</v>
      </c>
      <c r="AE25" s="307" t="s">
        <v>26</v>
      </c>
      <c r="AF25" s="305" t="s">
        <v>24</v>
      </c>
      <c r="AG25" s="306" t="s">
        <v>25</v>
      </c>
      <c r="AH25" s="307" t="s">
        <v>26</v>
      </c>
    </row>
    <row r="26" spans="1:106" ht="15" customHeight="1">
      <c r="A26" s="37" t="s">
        <v>50</v>
      </c>
      <c r="B26" s="320" t="s">
        <v>1065</v>
      </c>
      <c r="C26" s="320" t="s">
        <v>1066</v>
      </c>
      <c r="D26" s="56"/>
      <c r="E26" s="178"/>
      <c r="F26" s="56"/>
      <c r="G26" s="56"/>
      <c r="I26" s="64">
        <f>IF(G15&lt;&gt;"",IF(B23&lt;&gt;"",IF(AND(J20&lt;=I24,J21&gt;=I24),9,IF(AND(J20&gt;=I24,J21&lt;=I25),I25-J20+1,IF(AND(J20&gt;I24,J20&lt;=I25,J21&gt;=I25),I25-J20+1,0))),0),0)</f>
        <v>0</v>
      </c>
      <c r="J26" s="25"/>
      <c r="K26" s="322">
        <f>IF(G15&lt;&gt;"",IF(B23&lt;&gt;"",IF(AND(B23&lt;=I24,J21&gt;=I24),9,IF(AND(B23&gt;=I24,J21&lt;=I25),I25-B23+1,IF(AND(B23&gt;I24,B23&lt;=I25,J21&gt;=I25),I25-B23+1,0))),0),0)</f>
        <v>0</v>
      </c>
      <c r="P26" s="1" t="s">
        <v>65</v>
      </c>
      <c r="Q26" s="294" t="str">
        <f>IF(Demande!L81=TRUE,IF(OR(Demande!L75=1,Demande!L76=TRUE,Demande!L83=6),IF(G17&lt;&gt;"",G17+Demande!M22-1,G15+Demande!M22-1),IF(G17&lt;&gt;"",G17+Demande!M21-1,G15+Demande!M21-1)),"")</f>
        <v/>
      </c>
      <c r="R26" s="63" t="e">
        <f>Q26+1</f>
        <v>#VALUE!</v>
      </c>
      <c r="S26" s="164" t="e">
        <f>Q26+2</f>
        <v>#VALUE!</v>
      </c>
      <c r="T26" s="169" t="str">
        <f>IF(Demande!L81=TRUE,IF(OR(Demande!L75=1,Demande!L76=TRUE,Demande!L83=6),IF(G17&lt;&gt;"",G17+Demande!M24-1,G15+Demande!M24-1),IF(G17&lt;&gt;"",G17+Demande!M23-1,G15+Demande!M23-1)),"")</f>
        <v/>
      </c>
      <c r="U26" s="63" t="e">
        <f>T26+1</f>
        <v>#VALUE!</v>
      </c>
      <c r="V26" s="63" t="e">
        <f>T26+2</f>
        <v>#VALUE!</v>
      </c>
      <c r="W26" s="176" t="str">
        <f>IF(G15&lt;&gt;"",G15+I6+IF(OR(Demande!L75=1,Demande!L76=TRUE,Demande!L83=5,Demande!L83=6),IF(Demande!L79=1,Demande!M9,Demande!M12),IF(Demande!L79=1,Demande!M8+IF(Demande!L76=TRUE,Demande!M16-Demande!M16,0),Demande!M10+IF(Demande!L76=TRUE,Demande!M16-Demande!M16,0))),"")</f>
        <v/>
      </c>
      <c r="X26" s="63" t="e">
        <f>W26+1</f>
        <v>#VALUE!</v>
      </c>
      <c r="Y26" s="296" t="e">
        <f>W26+2</f>
        <v>#VALUE!</v>
      </c>
      <c r="Z26" s="25" t="b">
        <f>IF(G15&lt;&gt;"",IF(B23&lt;&gt;"",B23+C21+MAX(K22,K26),""))</f>
        <v>0</v>
      </c>
      <c r="AA26" s="63">
        <f>Z26+1</f>
        <v>1</v>
      </c>
      <c r="AB26" s="296">
        <f>Z26+2</f>
        <v>2</v>
      </c>
      <c r="AC26" s="25" t="str">
        <f>IF(G15&lt;&gt;"",IF(B23&lt;&gt;"",IF(B27&lt;&gt;"",B27+C21+MAX(I22,I26)-1,""),""),"")</f>
        <v/>
      </c>
      <c r="AD26" s="63" t="e">
        <f>AC26+1</f>
        <v>#VALUE!</v>
      </c>
      <c r="AE26" s="296" t="e">
        <f>AC26+2</f>
        <v>#VALUE!</v>
      </c>
      <c r="AF26" s="25" t="e">
        <f>J20+C21-1</f>
        <v>#VALUE!</v>
      </c>
      <c r="AG26" s="63" t="e">
        <f>AF26+1</f>
        <v>#VALUE!</v>
      </c>
      <c r="AH26" s="296" t="e">
        <f>AF26+2</f>
        <v>#VALUE!</v>
      </c>
    </row>
    <row r="27" spans="1:106" ht="15" customHeight="1">
      <c r="A27" s="319" t="s">
        <v>1051</v>
      </c>
      <c r="B27" s="56"/>
      <c r="C27" s="56"/>
      <c r="D27" s="66"/>
      <c r="E27" s="272" t="str">
        <f>IF(AND(I4=1,OR(Demande!L83=2,Demande!L83=3,Demande!L83=5,Demande!L83=6)),"Reçu CBE le ","")</f>
        <v/>
      </c>
      <c r="F27" s="145"/>
      <c r="G27" s="34"/>
      <c r="P27" s="1" t="s">
        <v>28</v>
      </c>
      <c r="Q27" s="287" t="str">
        <f>TEXT(Q26,"jjjj")</f>
        <v/>
      </c>
      <c r="R27" s="1"/>
      <c r="S27" s="174"/>
      <c r="T27" s="170" t="str">
        <f>TEXT(T26,"jjjj")</f>
        <v/>
      </c>
      <c r="U27" s="1"/>
      <c r="V27" s="1"/>
      <c r="W27" s="170" t="str">
        <f>TEXT(W26,"jjjj")</f>
        <v/>
      </c>
      <c r="X27" s="64"/>
      <c r="Y27" s="297"/>
      <c r="Z27" s="25" t="str">
        <f>TEXT(Z26,"jjjj")</f>
        <v>FAUX</v>
      </c>
      <c r="AB27" s="90"/>
      <c r="AC27" s="25" t="str">
        <f>TEXT(AC26,"jjjj")</f>
        <v/>
      </c>
      <c r="AE27" s="90"/>
      <c r="AF27" s="25" t="e">
        <f>TEXT(AF26,"jjjj")</f>
        <v>#VALUE!</v>
      </c>
      <c r="AH27" s="90"/>
    </row>
    <row r="28" spans="1:106" ht="15" customHeight="1">
      <c r="A28" s="319" t="s">
        <v>1067</v>
      </c>
      <c r="B28" s="56"/>
      <c r="C28" s="56"/>
      <c r="D28" s="1"/>
      <c r="E28" s="1"/>
      <c r="F28" s="117" t="str">
        <f>IF(F23&lt;&gt;"",IF(OR(Z77&lt;&gt;0,AA82&lt;&gt;0,AA84&lt;&gt;0),AA77,""),"")</f>
        <v/>
      </c>
      <c r="G28" s="117" t="str">
        <f>IF(G23&lt;&gt;"",IF(OR(AC77&lt;&gt;0,AD82&lt;&gt;0,AD84&lt;&gt;0),AD77,""),"")</f>
        <v/>
      </c>
      <c r="P28" t="s">
        <v>66</v>
      </c>
      <c r="Q28" s="294" t="e">
        <f t="shared" ref="Q28:V28" si="46">DATE(YEAR(Q26),1,1)</f>
        <v>#VALUE!</v>
      </c>
      <c r="R28" s="63" t="e">
        <f t="shared" si="46"/>
        <v>#VALUE!</v>
      </c>
      <c r="S28" s="164" t="e">
        <f t="shared" si="46"/>
        <v>#VALUE!</v>
      </c>
      <c r="T28" s="169" t="e">
        <f t="shared" si="46"/>
        <v>#VALUE!</v>
      </c>
      <c r="U28" s="63" t="e">
        <f t="shared" si="46"/>
        <v>#VALUE!</v>
      </c>
      <c r="V28" s="63" t="e">
        <f t="shared" si="46"/>
        <v>#VALUE!</v>
      </c>
      <c r="W28" s="169" t="e">
        <f>DATE(YEAR(W26),1,1)</f>
        <v>#VALUE!</v>
      </c>
      <c r="X28" s="63" t="e">
        <f>DATE(YEAR(X26),1,1)</f>
        <v>#VALUE!</v>
      </c>
      <c r="Y28" s="296" t="e">
        <f>DATE(YEAR(Y26),1,1)</f>
        <v>#VALUE!</v>
      </c>
      <c r="Z28" s="89">
        <f>DATE(YEAR(Z26),1,1)</f>
        <v>1</v>
      </c>
      <c r="AA28" s="82">
        <f>DATE(YEAR(Z26+1),1,1)</f>
        <v>1</v>
      </c>
      <c r="AB28" s="90">
        <f>DATE(YEAR(Z26+2),1,1)</f>
        <v>1</v>
      </c>
      <c r="AC28" s="89" t="e">
        <f>DATE(YEAR(AC26),1,1)</f>
        <v>#VALUE!</v>
      </c>
      <c r="AD28" s="82" t="e">
        <f>DATE(YEAR(AC26+1),1,1)</f>
        <v>#VALUE!</v>
      </c>
      <c r="AE28" s="90" t="e">
        <f>DATE(YEAR(AC26+2),1,1)</f>
        <v>#VALUE!</v>
      </c>
      <c r="AF28" s="89" t="e">
        <f>DATE(YEAR(AF26),1,1)</f>
        <v>#VALUE!</v>
      </c>
      <c r="AG28" s="82" t="e">
        <f>DATE(YEAR(AF26+1),1,1)</f>
        <v>#VALUE!</v>
      </c>
      <c r="AH28" s="90" t="e">
        <f>DATE(YEAR(AF26+2),1,1)</f>
        <v>#VALUE!</v>
      </c>
    </row>
    <row r="29" spans="1:106" ht="15" customHeight="1">
      <c r="A29" s="44" t="str">
        <f>IF(B29&lt;&gt;"","Neutralisation de l'enquête","")</f>
        <v/>
      </c>
      <c r="B29" s="362" t="str">
        <f>IF(G15&lt;&gt;"",IF(AND(B23&lt;&gt;"",OR(I22&lt;&gt;0,I26&lt;&gt;0)),CONCATENATE(MAX(I22,I26),IF(MAX(I22,I26)&lt;=1," jour"," jours"),""),""),"")</f>
        <v/>
      </c>
      <c r="C29" s="362"/>
      <c r="D29" s="356" t="str">
        <f ca="1">IF(F19="Refus tacite","Date ultime pour un recours recevable","")</f>
        <v/>
      </c>
      <c r="E29" s="356"/>
      <c r="F29" s="356"/>
      <c r="G29" s="82" t="str">
        <f ca="1">IF(AND(Demande!L81=TRUE,J5=1),AF51+AF67,"")</f>
        <v/>
      </c>
      <c r="I29" s="177"/>
      <c r="P29" s="68"/>
      <c r="Q29" s="294" t="e">
        <f t="shared" ref="Q29:V29" si="47">DATE(YEAR(Q26),5,1)</f>
        <v>#VALUE!</v>
      </c>
      <c r="R29" s="63" t="e">
        <f t="shared" si="47"/>
        <v>#VALUE!</v>
      </c>
      <c r="S29" s="164" t="e">
        <f t="shared" si="47"/>
        <v>#VALUE!</v>
      </c>
      <c r="T29" s="169" t="e">
        <f t="shared" si="47"/>
        <v>#VALUE!</v>
      </c>
      <c r="U29" s="63" t="e">
        <f t="shared" si="47"/>
        <v>#VALUE!</v>
      </c>
      <c r="V29" s="63" t="e">
        <f t="shared" si="47"/>
        <v>#VALUE!</v>
      </c>
      <c r="W29" s="169" t="e">
        <f>DATE(YEAR(W26),5,1)</f>
        <v>#VALUE!</v>
      </c>
      <c r="X29" s="63" t="e">
        <f>DATE(YEAR(X26),5,1)</f>
        <v>#VALUE!</v>
      </c>
      <c r="Y29" s="296" t="e">
        <f>DATE(YEAR(Y26),5,1)</f>
        <v>#VALUE!</v>
      </c>
      <c r="Z29" s="89">
        <f>DATE(YEAR(Z26),5,1)</f>
        <v>122</v>
      </c>
      <c r="AA29" s="82">
        <f>DATE(YEAR(Z26+1),5,1)</f>
        <v>122</v>
      </c>
      <c r="AB29" s="90">
        <f>DATE(YEAR(Z26+2),5,1)</f>
        <v>122</v>
      </c>
      <c r="AC29" s="89" t="e">
        <f>DATE(YEAR(AC26),5,1)</f>
        <v>#VALUE!</v>
      </c>
      <c r="AD29" s="82" t="e">
        <f>DATE(YEAR(AC26+1),5,1)</f>
        <v>#VALUE!</v>
      </c>
      <c r="AE29" s="90" t="e">
        <f>DATE(YEAR(AC26+2),5,1)</f>
        <v>#VALUE!</v>
      </c>
      <c r="AF29" s="89" t="e">
        <f>DATE(YEAR(AF26),5,1)</f>
        <v>#VALUE!</v>
      </c>
      <c r="AG29" s="82" t="e">
        <f>DATE(YEAR(AF26+1),5,1)</f>
        <v>#VALUE!</v>
      </c>
      <c r="AH29" s="90" t="e">
        <f>DATE(YEAR(AF26+2),5,1)</f>
        <v>#VALUE!</v>
      </c>
    </row>
    <row r="30" spans="1:106" ht="15" customHeight="1">
      <c r="A30" s="69"/>
      <c r="B30" s="108"/>
      <c r="C30" s="64"/>
      <c r="D30" s="108"/>
      <c r="E30" s="108"/>
      <c r="F30" s="1"/>
      <c r="G30" s="1"/>
      <c r="Q30" s="294" t="e">
        <f t="shared" ref="Q30:V30" si="48">DATE(YEAR(Q26),7,21)</f>
        <v>#VALUE!</v>
      </c>
      <c r="R30" s="63" t="e">
        <f t="shared" si="48"/>
        <v>#VALUE!</v>
      </c>
      <c r="S30" s="164" t="e">
        <f t="shared" si="48"/>
        <v>#VALUE!</v>
      </c>
      <c r="T30" s="169" t="e">
        <f t="shared" si="48"/>
        <v>#VALUE!</v>
      </c>
      <c r="U30" s="63" t="e">
        <f t="shared" si="48"/>
        <v>#VALUE!</v>
      </c>
      <c r="V30" s="63" t="e">
        <f t="shared" si="48"/>
        <v>#VALUE!</v>
      </c>
      <c r="W30" s="169" t="e">
        <f>DATE(YEAR(W26),7,21)</f>
        <v>#VALUE!</v>
      </c>
      <c r="X30" s="63" t="e">
        <f>DATE(YEAR(X26),7,21)</f>
        <v>#VALUE!</v>
      </c>
      <c r="Y30" s="296" t="e">
        <f>DATE(YEAR(Y26),7,21)</f>
        <v>#VALUE!</v>
      </c>
      <c r="Z30" s="89">
        <f>DATE(YEAR(Z26),7,21)</f>
        <v>203</v>
      </c>
      <c r="AA30" s="82">
        <f>DATE(YEAR(Z26+1),7,21)</f>
        <v>203</v>
      </c>
      <c r="AB30" s="90">
        <f>DATE(YEAR(Z26+2),7,21)</f>
        <v>203</v>
      </c>
      <c r="AC30" s="89" t="e">
        <f>DATE(YEAR(AC26),7,21)</f>
        <v>#VALUE!</v>
      </c>
      <c r="AD30" s="82" t="e">
        <f>DATE(YEAR(AC26+1),7,21)</f>
        <v>#VALUE!</v>
      </c>
      <c r="AE30" s="90" t="e">
        <f>DATE(YEAR(AC26+2),7,21)</f>
        <v>#VALUE!</v>
      </c>
      <c r="AF30" s="89" t="e">
        <f>DATE(YEAR(AF26),7,21)</f>
        <v>#VALUE!</v>
      </c>
      <c r="AG30" s="82" t="e">
        <f>DATE(YEAR(AF26+1),7,21)</f>
        <v>#VALUE!</v>
      </c>
      <c r="AH30" s="90" t="e">
        <f>DATE(YEAR(AF26+2),7,21)</f>
        <v>#VALUE!</v>
      </c>
    </row>
    <row r="31" spans="1:106" ht="15" customHeight="1">
      <c r="A31" s="34"/>
      <c r="B31" s="391" t="s">
        <v>67</v>
      </c>
      <c r="C31" s="392"/>
      <c r="D31" s="34"/>
      <c r="E31" s="391" t="s">
        <v>68</v>
      </c>
      <c r="F31" s="393"/>
      <c r="G31" s="392"/>
      <c r="Q31" s="294" t="e">
        <f t="shared" ref="Q31:V31" si="49">DATE(YEAR(Q26),8,15)</f>
        <v>#VALUE!</v>
      </c>
      <c r="R31" s="63" t="e">
        <f t="shared" si="49"/>
        <v>#VALUE!</v>
      </c>
      <c r="S31" s="164" t="e">
        <f t="shared" si="49"/>
        <v>#VALUE!</v>
      </c>
      <c r="T31" s="169" t="e">
        <f t="shared" si="49"/>
        <v>#VALUE!</v>
      </c>
      <c r="U31" s="63" t="e">
        <f t="shared" si="49"/>
        <v>#VALUE!</v>
      </c>
      <c r="V31" s="63" t="e">
        <f t="shared" si="49"/>
        <v>#VALUE!</v>
      </c>
      <c r="W31" s="169" t="e">
        <f>DATE(YEAR(W26),8,15)</f>
        <v>#VALUE!</v>
      </c>
      <c r="X31" s="63" t="e">
        <f>DATE(YEAR(X26),8,15)</f>
        <v>#VALUE!</v>
      </c>
      <c r="Y31" s="296" t="e">
        <f>DATE(YEAR(Y26),8,15)</f>
        <v>#VALUE!</v>
      </c>
      <c r="Z31" s="89">
        <f>DATE(YEAR(Z26),8,15)</f>
        <v>228</v>
      </c>
      <c r="AA31" s="82">
        <f>DATE(YEAR(Z26+1),8,15)</f>
        <v>228</v>
      </c>
      <c r="AB31" s="90">
        <f>DATE(YEAR(Z26+2),8,15)</f>
        <v>228</v>
      </c>
      <c r="AC31" s="89" t="e">
        <f>DATE(YEAR(AC26),8,15)</f>
        <v>#VALUE!</v>
      </c>
      <c r="AD31" s="82" t="e">
        <f>DATE(YEAR(AC26+1),8,15)</f>
        <v>#VALUE!</v>
      </c>
      <c r="AE31" s="90" t="e">
        <f>DATE(YEAR(AC26+2),8,15)</f>
        <v>#VALUE!</v>
      </c>
      <c r="AF31" s="89" t="e">
        <f>DATE(YEAR(AF26),8,15)</f>
        <v>#VALUE!</v>
      </c>
      <c r="AG31" s="82" t="e">
        <f>DATE(YEAR(AF26+1),8,15)</f>
        <v>#VALUE!</v>
      </c>
      <c r="AH31" s="90" t="e">
        <f>DATE(YEAR(AF26+2),8,15)</f>
        <v>#VALUE!</v>
      </c>
    </row>
    <row r="32" spans="1:106" ht="15" customHeight="1">
      <c r="A32" s="37"/>
      <c r="B32" s="35" t="s">
        <v>69</v>
      </c>
      <c r="C32" s="35" t="s">
        <v>70</v>
      </c>
      <c r="D32" s="71"/>
      <c r="E32" s="35" t="s">
        <v>71</v>
      </c>
      <c r="F32" s="35" t="s">
        <v>72</v>
      </c>
      <c r="G32" s="35" t="s">
        <v>73</v>
      </c>
      <c r="Q32" s="294" t="e">
        <f t="shared" ref="Q32:V32" si="50">DATE(YEAR(Q26),11,1)</f>
        <v>#VALUE!</v>
      </c>
      <c r="R32" s="63" t="e">
        <f t="shared" si="50"/>
        <v>#VALUE!</v>
      </c>
      <c r="S32" s="164" t="e">
        <f t="shared" si="50"/>
        <v>#VALUE!</v>
      </c>
      <c r="T32" s="169" t="e">
        <f t="shared" si="50"/>
        <v>#VALUE!</v>
      </c>
      <c r="U32" s="63" t="e">
        <f t="shared" si="50"/>
        <v>#VALUE!</v>
      </c>
      <c r="V32" s="63" t="e">
        <f t="shared" si="50"/>
        <v>#VALUE!</v>
      </c>
      <c r="W32" s="169" t="e">
        <f>DATE(YEAR(W26),11,1)</f>
        <v>#VALUE!</v>
      </c>
      <c r="X32" s="63" t="e">
        <f>DATE(YEAR(X26),11,1)</f>
        <v>#VALUE!</v>
      </c>
      <c r="Y32" s="296" t="e">
        <f>DATE(YEAR(Y26),11,1)</f>
        <v>#VALUE!</v>
      </c>
      <c r="Z32" s="89">
        <f>DATE(YEAR(Z26),11,1)</f>
        <v>306</v>
      </c>
      <c r="AA32" s="82">
        <f>DATE(YEAR(Z26+1),11,1)</f>
        <v>306</v>
      </c>
      <c r="AB32" s="90">
        <f>DATE(YEAR(Z26+2),11,1)</f>
        <v>306</v>
      </c>
      <c r="AC32" s="89" t="e">
        <f>DATE(YEAR(AC26),11,1)</f>
        <v>#VALUE!</v>
      </c>
      <c r="AD32" s="82" t="e">
        <f>DATE(YEAR(AC26+1),11,1)</f>
        <v>#VALUE!</v>
      </c>
      <c r="AE32" s="90" t="e">
        <f>DATE(YEAR(AC26+2),11,1)</f>
        <v>#VALUE!</v>
      </c>
      <c r="AF32" s="89" t="e">
        <f>DATE(YEAR(AF26),11,1)</f>
        <v>#VALUE!</v>
      </c>
      <c r="AG32" s="82" t="e">
        <f>DATE(YEAR(AF26+1),11,1)</f>
        <v>#VALUE!</v>
      </c>
      <c r="AH32" s="90" t="e">
        <f>DATE(YEAR(AF26+2),11,1)</f>
        <v>#VALUE!</v>
      </c>
    </row>
    <row r="33" spans="1:102" ht="15" customHeight="1">
      <c r="A33" s="44" t="s">
        <v>40</v>
      </c>
      <c r="B33" s="50" t="str">
        <f>IF(Demande!L81=TRUE,IF(G15&lt;&gt;"",Q26+Q42,""),"")</f>
        <v/>
      </c>
      <c r="C33" s="50" t="str">
        <f>IF(Demande!L81=TRUE,IF(G15&lt;&gt;"",T26+T42,""),"")</f>
        <v/>
      </c>
      <c r="D33" s="34"/>
      <c r="E33" s="56"/>
      <c r="F33" s="56"/>
      <c r="G33" s="56"/>
      <c r="I33" s="177" t="str">
        <f>IF(Demande!L81=TRUE,IF(G15&lt;&gt;"",IF(F17&lt;&gt;"",IF(Demande!L79=1,G15+F21,G15+I34),Z51+Z67),""),"")</f>
        <v/>
      </c>
      <c r="Q33" s="294" t="e">
        <f t="shared" ref="Q33:V33" si="51">DATE(YEAR(Q26),11,11)</f>
        <v>#VALUE!</v>
      </c>
      <c r="R33" s="63" t="e">
        <f t="shared" si="51"/>
        <v>#VALUE!</v>
      </c>
      <c r="S33" s="164" t="e">
        <f t="shared" si="51"/>
        <v>#VALUE!</v>
      </c>
      <c r="T33" s="169" t="e">
        <f t="shared" si="51"/>
        <v>#VALUE!</v>
      </c>
      <c r="U33" s="63" t="e">
        <f t="shared" si="51"/>
        <v>#VALUE!</v>
      </c>
      <c r="V33" s="63" t="e">
        <f t="shared" si="51"/>
        <v>#VALUE!</v>
      </c>
      <c r="W33" s="169" t="e">
        <f>DATE(YEAR(W26),11,11)</f>
        <v>#VALUE!</v>
      </c>
      <c r="X33" s="63" t="e">
        <f>DATE(YEAR(X26),11,11)</f>
        <v>#VALUE!</v>
      </c>
      <c r="Y33" s="296" t="e">
        <f>DATE(YEAR(Y26),11,11)</f>
        <v>#VALUE!</v>
      </c>
      <c r="Z33" s="89">
        <f>DATE(YEAR(Z26),11,11)</f>
        <v>316</v>
      </c>
      <c r="AA33" s="82">
        <f>DATE(YEAR(Z26+1),11,11)</f>
        <v>316</v>
      </c>
      <c r="AB33" s="90">
        <f>DATE(YEAR(Z26+2),11,11)</f>
        <v>316</v>
      </c>
      <c r="AC33" s="89" t="e">
        <f>DATE(YEAR(AC26),11,11)</f>
        <v>#VALUE!</v>
      </c>
      <c r="AD33" s="82" t="e">
        <f>DATE(YEAR(AC26+1),11,11)</f>
        <v>#VALUE!</v>
      </c>
      <c r="AE33" s="90" t="e">
        <f>DATE(YEAR(AC26+2),11,11)</f>
        <v>#VALUE!</v>
      </c>
      <c r="AF33" s="89" t="e">
        <f>DATE(YEAR(AF26),11,11)</f>
        <v>#VALUE!</v>
      </c>
      <c r="AG33" s="82" t="e">
        <f>DATE(YEAR(AF26+1),11,11)</f>
        <v>#VALUE!</v>
      </c>
      <c r="AH33" s="90" t="e">
        <f>DATE(YEAR(AF26+2),11,11)</f>
        <v>#VALUE!</v>
      </c>
    </row>
    <row r="34" spans="1:102" ht="15" customHeight="1">
      <c r="A34" s="4" t="s">
        <v>47</v>
      </c>
      <c r="B34" s="50" t="str">
        <f>IF(TEXT(B33,"jjjj")&lt;&gt;"Sans objet",IF(B33&lt;&gt;"",TEXT(B33,"jjjj"),""),"")</f>
        <v/>
      </c>
      <c r="C34" s="50" t="str">
        <f>IF(TEXT(C33,"jjjj")&lt;&gt;"Sans objet",IF(C33&lt;&gt;"",TEXT(C33,"jjjj"),""),"")</f>
        <v/>
      </c>
      <c r="D34" s="34"/>
      <c r="E34" s="384" t="str">
        <f>IF(AND(Demande!L77=TRUE,I6&gt;0),"Neutralisation totale de l'enquête","")</f>
        <v/>
      </c>
      <c r="F34" s="394"/>
      <c r="G34" s="385"/>
      <c r="I34" s="64" t="str">
        <f>IF(Demande!L81=TRUE,IF(G15&lt;&gt;"",AD52+AC67+I6+E21,""),"")</f>
        <v/>
      </c>
      <c r="Q34" s="294" t="e">
        <f t="shared" ref="Q34:V34" si="52">DATE(YEAR(Q26),12,25)</f>
        <v>#VALUE!</v>
      </c>
      <c r="R34" s="63" t="e">
        <f t="shared" si="52"/>
        <v>#VALUE!</v>
      </c>
      <c r="S34" s="164" t="e">
        <f t="shared" si="52"/>
        <v>#VALUE!</v>
      </c>
      <c r="T34" s="169" t="e">
        <f t="shared" si="52"/>
        <v>#VALUE!</v>
      </c>
      <c r="U34" s="63" t="e">
        <f t="shared" si="52"/>
        <v>#VALUE!</v>
      </c>
      <c r="V34" s="63" t="e">
        <f t="shared" si="52"/>
        <v>#VALUE!</v>
      </c>
      <c r="W34" s="169" t="e">
        <f>DATE(YEAR(W26),12,25)</f>
        <v>#VALUE!</v>
      </c>
      <c r="X34" s="63" t="e">
        <f>DATE(YEAR(X26),12,25)</f>
        <v>#VALUE!</v>
      </c>
      <c r="Y34" s="296" t="e">
        <f>DATE(YEAR(Y26),12,25)</f>
        <v>#VALUE!</v>
      </c>
      <c r="Z34" s="89">
        <f>DATE(YEAR(Z26),12,25)</f>
        <v>360</v>
      </c>
      <c r="AA34" s="82">
        <f>DATE(YEAR(Z26+1),12,25)</f>
        <v>360</v>
      </c>
      <c r="AB34" s="90">
        <f>DATE(YEAR(Z26+2),12,25)</f>
        <v>360</v>
      </c>
      <c r="AC34" s="89" t="e">
        <f>DATE(YEAR(AC26),12,25)</f>
        <v>#VALUE!</v>
      </c>
      <c r="AD34" s="82" t="e">
        <f>DATE(YEAR(AC26+1),12,25)</f>
        <v>#VALUE!</v>
      </c>
      <c r="AE34" s="90" t="e">
        <f>DATE(YEAR(AC26+2),12,25)</f>
        <v>#VALUE!</v>
      </c>
      <c r="AF34" s="89" t="e">
        <f>DATE(YEAR(AF26),12,25)</f>
        <v>#VALUE!</v>
      </c>
      <c r="AG34" s="82" t="e">
        <f>DATE(YEAR(AF26+1),12,25)</f>
        <v>#VALUE!</v>
      </c>
      <c r="AH34" s="90" t="e">
        <f>DATE(YEAR(AF26+2),12,25)</f>
        <v>#VALUE!</v>
      </c>
    </row>
    <row r="35" spans="1:102" ht="15" customHeight="1">
      <c r="A35" s="37" t="s">
        <v>50</v>
      </c>
      <c r="B35" s="56"/>
      <c r="C35" s="56"/>
      <c r="D35" s="34"/>
      <c r="E35" s="389" t="str">
        <f>IF(Demande!$L$77=TRUE,IF(I6&gt;0,CONCATENATE(I6,IF(I6=1," jour"," jours")),""),"")</f>
        <v/>
      </c>
      <c r="F35" s="360"/>
      <c r="G35" s="354"/>
      <c r="P35" s="47" t="s">
        <v>43</v>
      </c>
      <c r="Q35" s="212" t="e">
        <f t="shared" ref="Q35:V35" si="53">IF(Q26&lt;&gt;Q28,IF(Q26&lt;&gt;Q29,IF(Q26&lt;&gt;Q30,IF(Q26&lt;&gt;Q31,IF(Q26&lt;&gt;Q32,IF(Q26&lt;&gt;Q33,IF(Q26&lt;&gt;Q34,0,1),1),1),1),1),1),1)</f>
        <v>#VALUE!</v>
      </c>
      <c r="R35" s="70" t="e">
        <f t="shared" si="53"/>
        <v>#VALUE!</v>
      </c>
      <c r="S35" s="165" t="e">
        <f t="shared" si="53"/>
        <v>#VALUE!</v>
      </c>
      <c r="T35" s="171" t="e">
        <f t="shared" si="53"/>
        <v>#VALUE!</v>
      </c>
      <c r="U35" s="70" t="e">
        <f t="shared" si="53"/>
        <v>#VALUE!</v>
      </c>
      <c r="V35" s="70" t="e">
        <f t="shared" si="53"/>
        <v>#VALUE!</v>
      </c>
      <c r="W35" s="171" t="e">
        <f>IF(W26&lt;&gt;W28,IF(W26&lt;&gt;W29,IF(W26&lt;&gt;W30,IF(W26&lt;&gt;W31,IF(W26&lt;&gt;W32,IF(W26&lt;&gt;W33,IF(W26&lt;&gt;W34,0,1),1),1),1),1),1),1)</f>
        <v>#VALUE!</v>
      </c>
      <c r="X35" s="70" t="e">
        <f>IF(X26&lt;&gt;X28,IF(X26&lt;&gt;X29,IF(X26&lt;&gt;X30,IF(X26&lt;&gt;X31,IF(X26&lt;&gt;X32,IF(X26&lt;&gt;X33,IF(X26&lt;&gt;X34,0,1),1),1),1),1),1),1)</f>
        <v>#VALUE!</v>
      </c>
      <c r="Y35" s="278" t="e">
        <f>IF(Y26&lt;&gt;Y28,IF(Y26&lt;&gt;Y29,IF(Y26&lt;&gt;Y30,IF(Y26&lt;&gt;Y31,IF(Y26&lt;&gt;Y32,IF(Y26&lt;&gt;Y33,IF(Y26&lt;&gt;Y34,0,1),1),1),1),1),1),1)</f>
        <v>#VALUE!</v>
      </c>
      <c r="Z35" s="184">
        <f>IF(Z26&lt;&gt;Z28,IF(Z26&lt;&gt;Z29,IF(Z26&lt;&gt;Z30,IF(Z26&lt;&gt;Z31,IF(Z26&lt;&gt;Z32,IF(Z26&lt;&gt;Z33,IF(Z26&lt;&gt;Z34,0,1),1),1),1),1),1),1)</f>
        <v>0</v>
      </c>
      <c r="AA35" s="48">
        <f>IF(Z26+1&lt;&gt;AA28,IF(Z26+1&lt;&gt;AA29,IF(Z26+1&lt;&gt;AA30,IF(Z26+1&lt;&gt;AA31,IF(Z26+1&lt;&gt;AA32,IF(Z26+1&lt;&gt;AA33,IF(Z26+1&lt;&gt;AA34,0,1),1),1),1),1),1),1)</f>
        <v>1</v>
      </c>
      <c r="AB35" s="299">
        <f>IF(Z26+2&lt;&gt;AB28,IF(Z26+2&lt;&gt;AB29,IF(Z26+2&lt;&gt;AB30,IF(Z26+2&lt;&gt;AB31,IF(Z26+2&lt;&gt;AB32,IF(Z26+2&lt;&gt;AB33,IF(Z26+2&lt;&gt;AB34,0,1),1),1),1),1),1),1)</f>
        <v>0</v>
      </c>
      <c r="AC35" s="184" t="e">
        <f>IF(AC26&lt;&gt;AC28,IF(AC26&lt;&gt;AC29,IF(AC26&lt;&gt;AC30,IF(AC26&lt;&gt;AC31,IF(AC26&lt;&gt;AC32,IF(AC26&lt;&gt;AC33,IF(AC26&lt;&gt;AC34,0,1),1),1),1),1),1),1)</f>
        <v>#VALUE!</v>
      </c>
      <c r="AD35" s="48" t="e">
        <f>IF(AC26+1&lt;&gt;AD28,IF(AC26+1&lt;&gt;AD29,IF(AC26+1&lt;&gt;AD30,IF(AC26+1&lt;&gt;AD31,IF(AC26+1&lt;&gt;AD32,IF(AC26+1&lt;&gt;AD33,IF(AC26+1&lt;&gt;AD34,0,1),1),1),1),1),1),1)</f>
        <v>#VALUE!</v>
      </c>
      <c r="AE35" s="299" t="e">
        <f>IF(AC26+2&lt;&gt;AE28,IF(AC26+2&lt;&gt;AE29,IF(AC26+2&lt;&gt;AE30,IF(AC26+2&lt;&gt;AE31,IF(AC26+2&lt;&gt;AE32,IF(AC26+2&lt;&gt;AE33,IF(AC26+2&lt;&gt;AE34,0,1),1),1),1),1),1),1)</f>
        <v>#VALUE!</v>
      </c>
      <c r="AF35" s="184" t="e">
        <f>IF(AF26&lt;&gt;AF28,IF(AF26&lt;&gt;AF29,IF(AF26&lt;&gt;AF30,IF(AF26&lt;&gt;AF31,IF(AF26&lt;&gt;AF32,IF(AF26&lt;&gt;AF33,IF(AF26&lt;&gt;AF34,0,1),1),1),1),1),1),1)</f>
        <v>#VALUE!</v>
      </c>
      <c r="AG35" s="48" t="e">
        <f>IF(AF26+1&lt;&gt;AG28,IF(AF26+1&lt;&gt;AG29,IF(AF26+1&lt;&gt;AG30,IF(AF26+1&lt;&gt;AG31,IF(AF26+1&lt;&gt;AG32,IF(AF26+1&lt;&gt;AG33,IF(AF26+1&lt;&gt;AG34,0,1),1),1),1),1),1),1)</f>
        <v>#VALUE!</v>
      </c>
      <c r="AH35" s="299" t="e">
        <f>IF(AF26+2&lt;&gt;AH28,IF(AF26+2&lt;&gt;AH29,IF(AF26+2&lt;&gt;AH30,IF(AF26+2&lt;&gt;AH31,IF(AF26+2&lt;&gt;AH32,IF(AF26+2&lt;&gt;AH33,IF(AF26+2&lt;&gt;AH34,0,1),1),1),1),1),1),1)</f>
        <v>#VALUE!</v>
      </c>
    </row>
    <row r="36" spans="1:102" ht="15" customHeight="1">
      <c r="A36" s="11"/>
      <c r="B36" s="152"/>
      <c r="C36" s="139"/>
      <c r="D36" s="139"/>
      <c r="E36" s="139"/>
      <c r="F36" s="139"/>
      <c r="G36" s="139"/>
      <c r="P36" t="s">
        <v>46</v>
      </c>
      <c r="Q36" s="294" t="e">
        <f t="shared" ref="Q36:V36" si="54">DOLLAR((DAY(MINUTE(YEAR(Q26)/38)/2+55)&amp;"/4/"&amp;YEAR(Q26))/7,)*7-5</f>
        <v>#VALUE!</v>
      </c>
      <c r="R36" s="63" t="e">
        <f t="shared" si="54"/>
        <v>#VALUE!</v>
      </c>
      <c r="S36" s="164" t="e">
        <f t="shared" si="54"/>
        <v>#VALUE!</v>
      </c>
      <c r="T36" s="169" t="e">
        <f t="shared" si="54"/>
        <v>#VALUE!</v>
      </c>
      <c r="U36" s="63" t="e">
        <f t="shared" si="54"/>
        <v>#VALUE!</v>
      </c>
      <c r="V36" s="63" t="e">
        <f t="shared" si="54"/>
        <v>#VALUE!</v>
      </c>
      <c r="W36" s="169" t="e">
        <f>DOLLAR((DAY(MINUTE(YEAR(W26)/38)/2+55)&amp;"/4/"&amp;YEAR(W26))/7,)*7-5</f>
        <v>#VALUE!</v>
      </c>
      <c r="X36" s="63" t="e">
        <f>DOLLAR((DAY(MINUTE(YEAR(X26)/38)/2+55)&amp;"/4/"&amp;YEAR(X26))/7,)*7-5</f>
        <v>#VALUE!</v>
      </c>
      <c r="Y36" s="296" t="e">
        <f>DOLLAR((DAY(MINUTE(YEAR(Y26)/38)/2+55)&amp;"/4/"&amp;YEAR(Y26))/7,)*7-5</f>
        <v>#VALUE!</v>
      </c>
      <c r="Z36" s="204">
        <f t="shared" ref="Z36:AE36" si="55">DATE(YEAR(Z26),IF((25-MOD(11*MOD(YEAR(Z26),19)+4-INT((7*MOD(YEAR(Z26),19)+1)/19),29)-MOD(YEAR(Z26)-1900+INT((YEAR(Z26)-1900)/4)+31-MOD(11*MOD(YEAR(Z26),19)+4-INT((7*MOD(YEAR(Z26),19)+1)/19),29),7))&lt;=0,3,4),IF(25-MOD(11*MOD(YEAR(Z26),19)+4-INT((7*MOD(YEAR(Z26),19)+1)/19),29)-MOD(YEAR(Z26)-1900+INT((YEAR(Z26)-1900)/4)+31-MOD(11*MOD(YEAR(Z26),19)+4-INT((7*MOD(YEAR(Z26),19)+1)/19),29),7)&lt;=0,25-MOD(11*MOD(YEAR(Z26),19)+4-INT((7*MOD(YEAR(Z26),19)+1)/19),29)-MOD(YEAR(Z26)-1900+INT((YEAR(Z26)-1900)/4)+31-MOD(11*MOD(YEAR(Z26),19)+4-INT((7*MOD(YEAR(Z26),19)+1)/19),29),7)+31,25-MOD(11*MOD(YEAR(Z26),19)+4-INT((7*MOD(YEAR(Z26),19)+1)/19),29)-MOD(YEAR(Z26)-1900+INT((YEAR(Z26)-1900)/4)+31-MOD(11*MOD(YEAR(Z26),19)+4-INT((7*MOD(YEAR(Z26),19)+1)/19),29),7)))+1</f>
        <v>107</v>
      </c>
      <c r="AA36" s="110">
        <f t="shared" si="55"/>
        <v>107</v>
      </c>
      <c r="AB36" s="90">
        <f t="shared" si="55"/>
        <v>107</v>
      </c>
      <c r="AC36" s="204" t="e">
        <f t="shared" si="55"/>
        <v>#VALUE!</v>
      </c>
      <c r="AD36" s="110" t="e">
        <f t="shared" si="55"/>
        <v>#VALUE!</v>
      </c>
      <c r="AE36" s="90" t="e">
        <f t="shared" si="55"/>
        <v>#VALUE!</v>
      </c>
      <c r="AF36" s="204" t="e">
        <f>DATE(YEAR(AF26),IF((25-MOD(11*MOD(YEAR(AF26),19)+4-INT((7*MOD(YEAR(AF26),19)+1)/19),29)-MOD(YEAR(AF26)-1900+INT((YEAR(AF26)-1900)/4)+31-MOD(11*MOD(YEAR(AF26),19)+4-INT((7*MOD(YEAR(AF26),19)+1)/19),29),7))&lt;=0,3,4),IF(25-MOD(11*MOD(YEAR(AF26),19)+4-INT((7*MOD(YEAR(AF26),19)+1)/19),29)-MOD(YEAR(AF26)-1900+INT((YEAR(AF26)-1900)/4)+31-MOD(11*MOD(YEAR(AF26),19)+4-INT((7*MOD(YEAR(AF26),19)+1)/19),29),7)&lt;=0,25-MOD(11*MOD(YEAR(AF26),19)+4-INT((7*MOD(YEAR(AF26),19)+1)/19),29)-MOD(YEAR(AF26)-1900+INT((YEAR(AF26)-1900)/4)+31-MOD(11*MOD(YEAR(AF26),19)+4-INT((7*MOD(YEAR(AF26),19)+1)/19),29),7)+31,25-MOD(11*MOD(YEAR(AF26),19)+4-INT((7*MOD(YEAR(AF26),19)+1)/19),29)-MOD(YEAR(AF26)-1900+INT((YEAR(AF26)-1900)/4)+31-MOD(11*MOD(YEAR(AF26),19)+4-INT((7*MOD(YEAR(AF26),19)+1)/19),29),7)))+1</f>
        <v>#VALUE!</v>
      </c>
      <c r="AG36" s="110" t="e">
        <f>DATE(YEAR(AG26),IF((25-MOD(11*MOD(YEAR(AG26),19)+4-INT((7*MOD(YEAR(AG26),19)+1)/19),29)-MOD(YEAR(AG26)-1900+INT((YEAR(AG26)-1900)/4)+31-MOD(11*MOD(YEAR(AG26),19)+4-INT((7*MOD(YEAR(AG26),19)+1)/19),29),7))&lt;=0,3,4),IF(25-MOD(11*MOD(YEAR(AG26),19)+4-INT((7*MOD(YEAR(AG26),19)+1)/19),29)-MOD(YEAR(AG26)-1900+INT((YEAR(AG26)-1900)/4)+31-MOD(11*MOD(YEAR(AG26),19)+4-INT((7*MOD(YEAR(AG26),19)+1)/19),29),7)&lt;=0,25-MOD(11*MOD(YEAR(AG26),19)+4-INT((7*MOD(YEAR(AG26),19)+1)/19),29)-MOD(YEAR(AG26)-1900+INT((YEAR(AG26)-1900)/4)+31-MOD(11*MOD(YEAR(AG26),19)+4-INT((7*MOD(YEAR(AG26),19)+1)/19),29),7)+31,25-MOD(11*MOD(YEAR(AG26),19)+4-INT((7*MOD(YEAR(AG26),19)+1)/19),29)-MOD(YEAR(AG26)-1900+INT((YEAR(AG26)-1900)/4)+31-MOD(11*MOD(YEAR(AG26),19)+4-INT((7*MOD(YEAR(AG26),19)+1)/19),29),7)))+1</f>
        <v>#VALUE!</v>
      </c>
      <c r="AH36" s="90" t="e">
        <f>DATE(YEAR(AH26),IF((25-MOD(11*MOD(YEAR(AH26),19)+4-INT((7*MOD(YEAR(AH26),19)+1)/19),29)-MOD(YEAR(AH26)-1900+INT((YEAR(AH26)-1900)/4)+31-MOD(11*MOD(YEAR(AH26),19)+4-INT((7*MOD(YEAR(AH26),19)+1)/19),29),7))&lt;=0,3,4),IF(25-MOD(11*MOD(YEAR(AH26),19)+4-INT((7*MOD(YEAR(AH26),19)+1)/19),29)-MOD(YEAR(AH26)-1900+INT((YEAR(AH26)-1900)/4)+31-MOD(11*MOD(YEAR(AH26),19)+4-INT((7*MOD(YEAR(AH26),19)+1)/19),29),7)&lt;=0,25-MOD(11*MOD(YEAR(AH26),19)+4-INT((7*MOD(YEAR(AH26),19)+1)/19),29)-MOD(YEAR(AH26)-1900+INT((YEAR(AH26)-1900)/4)+31-MOD(11*MOD(YEAR(AH26),19)+4-INT((7*MOD(YEAR(AH26),19)+1)/19),29),7)+31,25-MOD(11*MOD(YEAR(AH26),19)+4-INT((7*MOD(YEAR(AH26),19)+1)/19),29)-MOD(YEAR(AH26)-1900+INT((YEAR(AH26)-1900)/4)+31-MOD(11*MOD(YEAR(AH26),19)+4-INT((7*MOD(YEAR(AH26),19)+1)/19),29),7)))+1</f>
        <v>#VALUE!</v>
      </c>
      <c r="CX36" s="7"/>
    </row>
    <row r="37" spans="1:102" ht="24.95" customHeight="1">
      <c r="A37" s="372" t="s">
        <v>74</v>
      </c>
      <c r="B37" s="354"/>
      <c r="C37" s="72" t="s">
        <v>75</v>
      </c>
      <c r="D37" s="357" t="s">
        <v>76</v>
      </c>
      <c r="E37" s="358"/>
      <c r="F37" s="72" t="s">
        <v>77</v>
      </c>
      <c r="G37" s="73"/>
      <c r="P37" t="s">
        <v>49</v>
      </c>
      <c r="Q37" s="294" t="e">
        <f t="shared" ref="Q37:V37" si="56">DOLLAR((DAY(MINUTE(YEAR(Q26)/38)/2+55)&amp;"/4/"&amp;YEAR(Q26))/7,)*7+33</f>
        <v>#VALUE!</v>
      </c>
      <c r="R37" s="63" t="e">
        <f t="shared" si="56"/>
        <v>#VALUE!</v>
      </c>
      <c r="S37" s="164" t="e">
        <f t="shared" si="56"/>
        <v>#VALUE!</v>
      </c>
      <c r="T37" s="169" t="e">
        <f t="shared" si="56"/>
        <v>#VALUE!</v>
      </c>
      <c r="U37" s="63" t="e">
        <f t="shared" si="56"/>
        <v>#VALUE!</v>
      </c>
      <c r="V37" s="63" t="e">
        <f t="shared" si="56"/>
        <v>#VALUE!</v>
      </c>
      <c r="W37" s="169" t="e">
        <f>DOLLAR((DAY(MINUTE(YEAR(W26)/38)/2+55)&amp;"/4/"&amp;YEAR(W26))/7,)*7+33</f>
        <v>#VALUE!</v>
      </c>
      <c r="X37" s="63" t="e">
        <f>DOLLAR((DAY(MINUTE(YEAR(X26)/38)/2+55)&amp;"/4/"&amp;YEAR(X26))/7,)*7+33</f>
        <v>#VALUE!</v>
      </c>
      <c r="Y37" s="296" t="e">
        <f>DOLLAR((DAY(MINUTE(YEAR(Y26)/38)/2+55)&amp;"/4/"&amp;YEAR(Y26))/7,)*7+33</f>
        <v>#VALUE!</v>
      </c>
      <c r="Z37" s="89">
        <f t="shared" ref="Z37:AE37" si="57">DATE(YEAR(Z26),IF((25-MOD(11*MOD(YEAR(Z26),19)+4-INT((7*MOD(YEAR(Z26),19)+1)/19),29)-MOD(YEAR(Z26)-1900+INT((YEAR(Z26)-1900)/4)+31-MOD(11*MOD(YEAR(Z26),19)+4-INT((7*MOD(YEAR(Z26),19)+1)/19),29),7))&lt;=0,3,4),IF(25-MOD(11*MOD(YEAR(Z26),19)+4-INT((7*MOD(YEAR(Z26),19)+1)/19),29)-MOD(YEAR(Z26)-1900+INT((YEAR(Z26)-1900)/4)+31-MOD(11*MOD(YEAR(Z26),19)+4-INT((7*MOD(YEAR(Z26),19)+1)/19),29),7)&lt;=0,25-MOD(11*MOD(YEAR(Z26),19)+4-INT((7*MOD(YEAR(Z26),19)+1)/19),29)-MOD(YEAR(Z26)-1900+INT((YEAR(Z26)-1900)/4)+31-MOD(11*MOD(YEAR(Z26),19)+4-INT((7*MOD(YEAR(Z26),19)+1)/19),29),7)+31,25-MOD(11*MOD(YEAR(Z26),19)+4-INT((7*MOD(YEAR(Z26),19)+1)/19),29)-MOD(YEAR(Z26)-1900+INT((YEAR(Z26)-1900)/4)+31-MOD(11*MOD(YEAR(Z26),19)+4-INT((7*MOD(YEAR(Z26),19)+1)/19),29),7)))+39</f>
        <v>145</v>
      </c>
      <c r="AA37" s="110">
        <f t="shared" si="57"/>
        <v>145</v>
      </c>
      <c r="AB37" s="90">
        <f t="shared" si="57"/>
        <v>145</v>
      </c>
      <c r="AC37" s="89" t="e">
        <f t="shared" si="57"/>
        <v>#VALUE!</v>
      </c>
      <c r="AD37" s="110" t="e">
        <f t="shared" si="57"/>
        <v>#VALUE!</v>
      </c>
      <c r="AE37" s="90" t="e">
        <f t="shared" si="57"/>
        <v>#VALUE!</v>
      </c>
      <c r="AF37" s="89" t="e">
        <f>DATE(YEAR(AF26),IF((25-MOD(11*MOD(YEAR(AF26),19)+4-INT((7*MOD(YEAR(AF26),19)+1)/19),29)-MOD(YEAR(AF26)-1900+INT((YEAR(AF26)-1900)/4)+31-MOD(11*MOD(YEAR(AF26),19)+4-INT((7*MOD(YEAR(AF26),19)+1)/19),29),7))&lt;=0,3,4),IF(25-MOD(11*MOD(YEAR(AF26),19)+4-INT((7*MOD(YEAR(AF26),19)+1)/19),29)-MOD(YEAR(AF26)-1900+INT((YEAR(AF26)-1900)/4)+31-MOD(11*MOD(YEAR(AF26),19)+4-INT((7*MOD(YEAR(AF26),19)+1)/19),29),7)&lt;=0,25-MOD(11*MOD(YEAR(AF26),19)+4-INT((7*MOD(YEAR(AF26),19)+1)/19),29)-MOD(YEAR(AF26)-1900+INT((YEAR(AF26)-1900)/4)+31-MOD(11*MOD(YEAR(AF26),19)+4-INT((7*MOD(YEAR(AF26),19)+1)/19),29),7)+31,25-MOD(11*MOD(YEAR(AF26),19)+4-INT((7*MOD(YEAR(AF26),19)+1)/19),29)-MOD(YEAR(AF26)-1900+INT((YEAR(AF26)-1900)/4)+31-MOD(11*MOD(YEAR(AF26),19)+4-INT((7*MOD(YEAR(AF26),19)+1)/19),29),7)))+39</f>
        <v>#VALUE!</v>
      </c>
      <c r="AG37" s="110" t="e">
        <f>DATE(YEAR(AG26),IF((25-MOD(11*MOD(YEAR(AG26),19)+4-INT((7*MOD(YEAR(AG26),19)+1)/19),29)-MOD(YEAR(AG26)-1900+INT((YEAR(AG26)-1900)/4)+31-MOD(11*MOD(YEAR(AG26),19)+4-INT((7*MOD(YEAR(AG26),19)+1)/19),29),7))&lt;=0,3,4),IF(25-MOD(11*MOD(YEAR(AG26),19)+4-INT((7*MOD(YEAR(AG26),19)+1)/19),29)-MOD(YEAR(AG26)-1900+INT((YEAR(AG26)-1900)/4)+31-MOD(11*MOD(YEAR(AG26),19)+4-INT((7*MOD(YEAR(AG26),19)+1)/19),29),7)&lt;=0,25-MOD(11*MOD(YEAR(AG26),19)+4-INT((7*MOD(YEAR(AG26),19)+1)/19),29)-MOD(YEAR(AG26)-1900+INT((YEAR(AG26)-1900)/4)+31-MOD(11*MOD(YEAR(AG26),19)+4-INT((7*MOD(YEAR(AG26),19)+1)/19),29),7)+31,25-MOD(11*MOD(YEAR(AG26),19)+4-INT((7*MOD(YEAR(AG26),19)+1)/19),29)-MOD(YEAR(AG26)-1900+INT((YEAR(AG26)-1900)/4)+31-MOD(11*MOD(YEAR(AG26),19)+4-INT((7*MOD(YEAR(AG26),19)+1)/19),29),7)))+39</f>
        <v>#VALUE!</v>
      </c>
      <c r="AH37" s="90" t="e">
        <f>DATE(YEAR(AH26),IF((25-MOD(11*MOD(YEAR(AH26),19)+4-INT((7*MOD(YEAR(AH26),19)+1)/19),29)-MOD(YEAR(AH26)-1900+INT((YEAR(AH26)-1900)/4)+31-MOD(11*MOD(YEAR(AH26),19)+4-INT((7*MOD(YEAR(AH26),19)+1)/19),29),7))&lt;=0,3,4),IF(25-MOD(11*MOD(YEAR(AH26),19)+4-INT((7*MOD(YEAR(AH26),19)+1)/19),29)-MOD(YEAR(AH26)-1900+INT((YEAR(AH26)-1900)/4)+31-MOD(11*MOD(YEAR(AH26),19)+4-INT((7*MOD(YEAR(AH26),19)+1)/19),29),7)&lt;=0,25-MOD(11*MOD(YEAR(AH26),19)+4-INT((7*MOD(YEAR(AH26),19)+1)/19),29)-MOD(YEAR(AH26)-1900+INT((YEAR(AH26)-1900)/4)+31-MOD(11*MOD(YEAR(AH26),19)+4-INT((7*MOD(YEAR(AH26),19)+1)/19),29),7)+31,25-MOD(11*MOD(YEAR(AH26),19)+4-INT((7*MOD(YEAR(AH26),19)+1)/19),29)-MOD(YEAR(AH26)-1900+INT((YEAR(AH26)-1900)/4)+31-MOD(11*MOD(YEAR(AH26),19)+4-INT((7*MOD(YEAR(AH26),19)+1)/19),29),7)))+39</f>
        <v>#VALUE!</v>
      </c>
    </row>
    <row r="38" spans="1:102" ht="13.5" customHeight="1">
      <c r="A38" s="398"/>
      <c r="B38" s="399"/>
      <c r="C38" s="74"/>
      <c r="D38" s="190" t="str">
        <f>IF(F$17&lt;&gt;"",IF(C38&lt;&gt;"",TEXT(E38,"jjjj"),""),"")</f>
        <v/>
      </c>
      <c r="E38" s="191" t="str">
        <f>IF(C38&lt;&gt;"",Q6+Q22,"")</f>
        <v/>
      </c>
      <c r="F38" s="74"/>
      <c r="G38" s="75" t="str">
        <f ca="1">IF(AND(A38&lt;&gt;"",C38&lt;&gt;""),IF(AND(F38="",TODAY()&gt;E38-Demande!B$83),"Avis non reçu",IF(F38&gt;E38,"Réputé favorable","")),"")</f>
        <v/>
      </c>
      <c r="P38" t="s">
        <v>53</v>
      </c>
      <c r="Q38" s="294" t="e">
        <f t="shared" ref="Q38:V38" si="58">DOLLAR((DAY(MINUTE(YEAR(Q26)/38)/2+55)&amp;"/4/"&amp;YEAR(Q26))/7,)*7+44</f>
        <v>#VALUE!</v>
      </c>
      <c r="R38" s="63" t="e">
        <f t="shared" si="58"/>
        <v>#VALUE!</v>
      </c>
      <c r="S38" s="164" t="e">
        <f t="shared" si="58"/>
        <v>#VALUE!</v>
      </c>
      <c r="T38" s="169" t="e">
        <f t="shared" si="58"/>
        <v>#VALUE!</v>
      </c>
      <c r="U38" s="63" t="e">
        <f t="shared" si="58"/>
        <v>#VALUE!</v>
      </c>
      <c r="V38" s="63" t="e">
        <f t="shared" si="58"/>
        <v>#VALUE!</v>
      </c>
      <c r="W38" s="169" t="e">
        <f>DOLLAR((DAY(MINUTE(YEAR(W26)/38)/2+55)&amp;"/4/"&amp;YEAR(W26))/7,)*7+44</f>
        <v>#VALUE!</v>
      </c>
      <c r="X38" s="63" t="e">
        <f>DOLLAR((DAY(MINUTE(YEAR(X26)/38)/2+55)&amp;"/4/"&amp;YEAR(X26))/7,)*7+44</f>
        <v>#VALUE!</v>
      </c>
      <c r="Y38" s="296" t="e">
        <f>DOLLAR((DAY(MINUTE(YEAR(Y26)/38)/2+55)&amp;"/4/"&amp;YEAR(Y26))/7,)*7+44</f>
        <v>#VALUE!</v>
      </c>
      <c r="Z38" s="204">
        <f t="shared" ref="Z38:AE38" si="59">DATE(YEAR(Z26),IF((25-MOD(11*MOD(YEAR(Z26),19)+4-INT((7*MOD(YEAR(Z26),19)+1)/19),29)-MOD(YEAR(Z26)-1900+INT((YEAR(Z26)-1900)/4)+31-MOD(11*MOD(YEAR(Z26),19)+4-INT((7*MOD(YEAR(Z26),19)+1)/19),29),7))&lt;=0,3,4),IF(25-MOD(11*MOD(YEAR(Z26),19)+4-INT((7*MOD(YEAR(Z26),19)+1)/19),29)-MOD(YEAR(Z26)-1900+INT((YEAR(Z26)-1900)/4)+31-MOD(11*MOD(YEAR(Z26),19)+4-INT((7*MOD(YEAR(Z26),19)+1)/19),29),7)&lt;=0,25-MOD(11*MOD(YEAR(Z26),19)+4-INT((7*MOD(YEAR(Z26),19)+1)/19),29)-MOD(YEAR(Z26)-1900+INT((YEAR(Z26)-1900)/4)+31-MOD(11*MOD(YEAR(Z26),19)+4-INT((7*MOD(YEAR(Z26),19)+1)/19),29),7)+31,25-MOD(11*MOD(YEAR(Z26),19)+4-INT((7*MOD(YEAR(Z26),19)+1)/19),29)-MOD(YEAR(Z26)-1900+INT((YEAR(Z26)-1900)/4)+31-MOD(11*MOD(YEAR(Z26),19)+4-INT((7*MOD(YEAR(Z26),19)+1)/19),29),7)))+50</f>
        <v>156</v>
      </c>
      <c r="AA38" s="110">
        <f t="shared" si="59"/>
        <v>156</v>
      </c>
      <c r="AB38" s="90">
        <f t="shared" si="59"/>
        <v>156</v>
      </c>
      <c r="AC38" s="204" t="e">
        <f t="shared" si="59"/>
        <v>#VALUE!</v>
      </c>
      <c r="AD38" s="110" t="e">
        <f t="shared" si="59"/>
        <v>#VALUE!</v>
      </c>
      <c r="AE38" s="90" t="e">
        <f t="shared" si="59"/>
        <v>#VALUE!</v>
      </c>
      <c r="AF38" s="204" t="e">
        <f>DATE(YEAR(AF26),IF((25-MOD(11*MOD(YEAR(AF26),19)+4-INT((7*MOD(YEAR(AF26),19)+1)/19),29)-MOD(YEAR(AF26)-1900+INT((YEAR(AF26)-1900)/4)+31-MOD(11*MOD(YEAR(AF26),19)+4-INT((7*MOD(YEAR(AF26),19)+1)/19),29),7))&lt;=0,3,4),IF(25-MOD(11*MOD(YEAR(AF26),19)+4-INT((7*MOD(YEAR(AF26),19)+1)/19),29)-MOD(YEAR(AF26)-1900+INT((YEAR(AF26)-1900)/4)+31-MOD(11*MOD(YEAR(AF26),19)+4-INT((7*MOD(YEAR(AF26),19)+1)/19),29),7)&lt;=0,25-MOD(11*MOD(YEAR(AF26),19)+4-INT((7*MOD(YEAR(AF26),19)+1)/19),29)-MOD(YEAR(AF26)-1900+INT((YEAR(AF26)-1900)/4)+31-MOD(11*MOD(YEAR(AF26),19)+4-INT((7*MOD(YEAR(AF26),19)+1)/19),29),7)+31,25-MOD(11*MOD(YEAR(AF26),19)+4-INT((7*MOD(YEAR(AF26),19)+1)/19),29)-MOD(YEAR(AF26)-1900+INT((YEAR(AF26)-1900)/4)+31-MOD(11*MOD(YEAR(AF26),19)+4-INT((7*MOD(YEAR(AF26),19)+1)/19),29),7)))+50</f>
        <v>#VALUE!</v>
      </c>
      <c r="AG38" s="110" t="e">
        <f>DATE(YEAR(AG26),IF((25-MOD(11*MOD(YEAR(AG26),19)+4-INT((7*MOD(YEAR(AG26),19)+1)/19),29)-MOD(YEAR(AG26)-1900+INT((YEAR(AG26)-1900)/4)+31-MOD(11*MOD(YEAR(AG26),19)+4-INT((7*MOD(YEAR(AG26),19)+1)/19),29),7))&lt;=0,3,4),IF(25-MOD(11*MOD(YEAR(AG26),19)+4-INT((7*MOD(YEAR(AG26),19)+1)/19),29)-MOD(YEAR(AG26)-1900+INT((YEAR(AG26)-1900)/4)+31-MOD(11*MOD(YEAR(AG26),19)+4-INT((7*MOD(YEAR(AG26),19)+1)/19),29),7)&lt;=0,25-MOD(11*MOD(YEAR(AG26),19)+4-INT((7*MOD(YEAR(AG26),19)+1)/19),29)-MOD(YEAR(AG26)-1900+INT((YEAR(AG26)-1900)/4)+31-MOD(11*MOD(YEAR(AG26),19)+4-INT((7*MOD(YEAR(AG26),19)+1)/19),29),7)+31,25-MOD(11*MOD(YEAR(AG26),19)+4-INT((7*MOD(YEAR(AG26),19)+1)/19),29)-MOD(YEAR(AG26)-1900+INT((YEAR(AG26)-1900)/4)+31-MOD(11*MOD(YEAR(AG26),19)+4-INT((7*MOD(YEAR(AG26),19)+1)/19),29),7)))+50</f>
        <v>#VALUE!</v>
      </c>
      <c r="AH38" s="90" t="e">
        <f>DATE(YEAR(AH26),IF((25-MOD(11*MOD(YEAR(AH26),19)+4-INT((7*MOD(YEAR(AH26),19)+1)/19),29)-MOD(YEAR(AH26)-1900+INT((YEAR(AH26)-1900)/4)+31-MOD(11*MOD(YEAR(AH26),19)+4-INT((7*MOD(YEAR(AH26),19)+1)/19),29),7))&lt;=0,3,4),IF(25-MOD(11*MOD(YEAR(AH26),19)+4-INT((7*MOD(YEAR(AH26),19)+1)/19),29)-MOD(YEAR(AH26)-1900+INT((YEAR(AH26)-1900)/4)+31-MOD(11*MOD(YEAR(AH26),19)+4-INT((7*MOD(YEAR(AH26),19)+1)/19),29),7)&lt;=0,25-MOD(11*MOD(YEAR(AH26),19)+4-INT((7*MOD(YEAR(AH26),19)+1)/19),29)-MOD(YEAR(AH26)-1900+INT((YEAR(AH26)-1900)/4)+31-MOD(11*MOD(YEAR(AH26),19)+4-INT((7*MOD(YEAR(AH26),19)+1)/19),29),7)+31,25-MOD(11*MOD(YEAR(AH26),19)+4-INT((7*MOD(YEAR(AH26),19)+1)/19),29)-MOD(YEAR(AH26)-1900+INT((YEAR(AH26)-1900)/4)+31-MOD(11*MOD(YEAR(AH26),19)+4-INT((7*MOD(YEAR(AH26),19)+1)/19),29),7)))+50</f>
        <v>#VALUE!</v>
      </c>
      <c r="CX38" s="25"/>
    </row>
    <row r="39" spans="1:102" ht="13.5" customHeight="1">
      <c r="A39" s="398"/>
      <c r="B39" s="399"/>
      <c r="C39" s="74"/>
      <c r="D39" s="190" t="str">
        <f t="shared" ref="D39:D67" si="60">IF(F$17&lt;&gt;"",IF(C39&lt;&gt;"",TEXT(E39,"jjjj"),""),"")</f>
        <v/>
      </c>
      <c r="E39" s="191" t="str">
        <f>IF(C39&lt;&gt;"",T6+T22,"")</f>
        <v/>
      </c>
      <c r="F39" s="74"/>
      <c r="G39" s="75" t="str">
        <f ca="1">IF(AND(A39&lt;&gt;"",C39&lt;&gt;""),IF(AND(F39="",TODAY()&gt;E39-Demande!B$83),"Avis non reçu",IF(F39&gt;E39,"Réputé favorable","")),"")</f>
        <v/>
      </c>
      <c r="P39" s="47" t="s">
        <v>35</v>
      </c>
      <c r="Q39" s="212" t="e">
        <f t="shared" ref="Q39:V39" si="61">IF(Q26&lt;&gt;Q36,IF(Q26&lt;&gt;Q37,IF(Q26&lt;&gt;Q38,0,1),1),1)</f>
        <v>#VALUE!</v>
      </c>
      <c r="R39" s="70" t="e">
        <f t="shared" si="61"/>
        <v>#VALUE!</v>
      </c>
      <c r="S39" s="165" t="e">
        <f t="shared" si="61"/>
        <v>#VALUE!</v>
      </c>
      <c r="T39" s="171" t="e">
        <f t="shared" si="61"/>
        <v>#VALUE!</v>
      </c>
      <c r="U39" s="70" t="e">
        <f t="shared" si="61"/>
        <v>#VALUE!</v>
      </c>
      <c r="V39" s="70" t="e">
        <f t="shared" si="61"/>
        <v>#VALUE!</v>
      </c>
      <c r="W39" s="171" t="e">
        <f>IF(W26&lt;&gt;W36,IF(W26&lt;&gt;W37,IF(W26&lt;&gt;W38,0,1),1),1)</f>
        <v>#VALUE!</v>
      </c>
      <c r="X39" s="70" t="e">
        <f>IF(X26&lt;&gt;X36,IF(X26&lt;&gt;X37,IF(X26&lt;&gt;X38,0,1),1),1)</f>
        <v>#VALUE!</v>
      </c>
      <c r="Y39" s="278" t="e">
        <f>IF(Y26&lt;&gt;Y36,IF(Y26&lt;&gt;Y37,IF(Y26&lt;&gt;Y38,0,1),1),1)</f>
        <v>#VALUE!</v>
      </c>
      <c r="Z39" s="184">
        <f>IF(Z26&lt;&gt;Z36,IF(Z26&lt;&gt;Z37,IF(Z26&lt;&gt;Z38,0,1),1),1)</f>
        <v>0</v>
      </c>
      <c r="AA39" s="165">
        <f>IF(Z26+1&lt;&gt;AA36,IF(Z26+1&lt;&gt;AA37,IF(Z26+1&lt;&gt;AA38,0,1),1),1)</f>
        <v>0</v>
      </c>
      <c r="AB39" s="278">
        <f>IF(Z26+2&lt;&gt;AB36,IF(Z26+2&lt;&gt;AB37,IF(Z26+2&lt;&gt;AB38,0,1),1),1)</f>
        <v>0</v>
      </c>
      <c r="AC39" s="184" t="e">
        <f>IF(AC26&lt;&gt;AC36,IF(AC26&lt;&gt;AC37,IF(AC26&lt;&gt;AC38,0,1),1),1)</f>
        <v>#VALUE!</v>
      </c>
      <c r="AD39" s="165" t="e">
        <f>IF(AC26+1&lt;&gt;AD36,IF(AC26+1&lt;&gt;AD37,IF(AC26+1&lt;&gt;AD38,0,1),1),1)</f>
        <v>#VALUE!</v>
      </c>
      <c r="AE39" s="278" t="e">
        <f>IF(AC26+2&lt;&gt;AE36,IF(AC26+2&lt;&gt;AE37,IF(AC26+2&lt;&gt;AE38,0,1),1),1)</f>
        <v>#VALUE!</v>
      </c>
      <c r="AF39" s="184" t="e">
        <f>IF(AF26&lt;&gt;AF36,IF(AF26&lt;&gt;AF37,IF(AF26&lt;&gt;AF38,0,1),1),1)</f>
        <v>#VALUE!</v>
      </c>
      <c r="AG39" s="165" t="e">
        <f>IF(AF26+1&lt;&gt;AG36,IF(AF26+1&lt;&gt;AG37,IF(AF26+1&lt;&gt;AG38,0,1),1),1)</f>
        <v>#VALUE!</v>
      </c>
      <c r="AH39" s="278" t="e">
        <f>IF(AF26+2&lt;&gt;AH36,IF(AF26+2&lt;&gt;AH37,IF(AF26+2&lt;&gt;AH38,0,1),1),1)</f>
        <v>#VALUE!</v>
      </c>
      <c r="CX39" s="14"/>
    </row>
    <row r="40" spans="1:102" ht="13.5" customHeight="1">
      <c r="A40" s="398"/>
      <c r="B40" s="399"/>
      <c r="C40" s="74"/>
      <c r="D40" s="190" t="str">
        <f t="shared" si="60"/>
        <v/>
      </c>
      <c r="E40" s="191" t="str">
        <f>IF(C40&lt;&gt;"",W6+W22,"")</f>
        <v/>
      </c>
      <c r="F40" s="74"/>
      <c r="G40" s="75" t="str">
        <f ca="1">IF(AND(A40&lt;&gt;"",C40&lt;&gt;""),IF(AND(F40="",TODAY()&gt;E40-Demande!B$83),"Avis non reçu",IF(F40&gt;E40,"Réputé favorable","")),"")</f>
        <v/>
      </c>
      <c r="P40" s="47" t="s">
        <v>57</v>
      </c>
      <c r="Q40" s="185" t="e">
        <f t="shared" ref="Q40:V40" si="62">IF(OR(Q35=1,Q39=1),1,0)</f>
        <v>#VALUE!</v>
      </c>
      <c r="R40" s="58" t="e">
        <f t="shared" si="62"/>
        <v>#VALUE!</v>
      </c>
      <c r="S40" s="166" t="e">
        <f t="shared" si="62"/>
        <v>#VALUE!</v>
      </c>
      <c r="T40" s="172" t="e">
        <f t="shared" si="62"/>
        <v>#VALUE!</v>
      </c>
      <c r="U40" s="58" t="e">
        <f t="shared" si="62"/>
        <v>#VALUE!</v>
      </c>
      <c r="V40" s="58" t="e">
        <f t="shared" si="62"/>
        <v>#VALUE!</v>
      </c>
      <c r="W40" s="172" t="e">
        <f t="shared" ref="W40:AE40" si="63">IF(OR(W35=1,W39=1),1,0)</f>
        <v>#VALUE!</v>
      </c>
      <c r="X40" s="58" t="e">
        <f t="shared" si="63"/>
        <v>#VALUE!</v>
      </c>
      <c r="Y40" s="286" t="e">
        <f t="shared" si="63"/>
        <v>#VALUE!</v>
      </c>
      <c r="Z40" s="185">
        <f t="shared" si="63"/>
        <v>0</v>
      </c>
      <c r="AA40" s="58">
        <f t="shared" si="63"/>
        <v>1</v>
      </c>
      <c r="AB40" s="286">
        <f t="shared" si="63"/>
        <v>0</v>
      </c>
      <c r="AC40" s="185" t="e">
        <f t="shared" si="63"/>
        <v>#VALUE!</v>
      </c>
      <c r="AD40" s="58" t="e">
        <f t="shared" si="63"/>
        <v>#VALUE!</v>
      </c>
      <c r="AE40" s="286" t="e">
        <f t="shared" si="63"/>
        <v>#VALUE!</v>
      </c>
      <c r="AF40" s="185" t="e">
        <f>IF(OR(AF35=1,AF39=1),1,0)</f>
        <v>#VALUE!</v>
      </c>
      <c r="AG40" s="58" t="e">
        <f>IF(OR(AG35=1,AG39=1),1,0)</f>
        <v>#VALUE!</v>
      </c>
      <c r="AH40" s="286" t="e">
        <f>IF(OR(AH35=1,AH39=1),1,0)</f>
        <v>#VALUE!</v>
      </c>
      <c r="CX40" s="25"/>
    </row>
    <row r="41" spans="1:102" ht="13.5" customHeight="1">
      <c r="A41" s="398"/>
      <c r="B41" s="399"/>
      <c r="C41" s="74"/>
      <c r="D41" s="190" t="str">
        <f t="shared" si="60"/>
        <v/>
      </c>
      <c r="E41" s="191" t="str">
        <f>IF(C41&lt;&gt;"",Z6+Z22,"")</f>
        <v/>
      </c>
      <c r="F41" s="74"/>
      <c r="G41" s="75" t="str">
        <f ca="1">IF(AND(A41&lt;&gt;"",C41&lt;&gt;""),IF(AND(F41="",TODAY()&gt;E41-Demande!B$83),"Avis non reçu",IF(F41&gt;E41,"Réputé favorable","")),"")</f>
        <v/>
      </c>
      <c r="P41" s="1"/>
      <c r="Q41" s="287"/>
      <c r="R41" s="64"/>
      <c r="S41" s="154"/>
      <c r="T41" s="170"/>
      <c r="U41" s="64"/>
      <c r="V41" s="64"/>
      <c r="W41" s="170"/>
      <c r="X41" s="64"/>
      <c r="Y41" s="189"/>
      <c r="Z41" s="186"/>
      <c r="AB41" s="192"/>
      <c r="AC41" s="186"/>
      <c r="AE41" s="192"/>
      <c r="AF41" s="186"/>
      <c r="AH41" s="192"/>
      <c r="CX41" s="25"/>
    </row>
    <row r="42" spans="1:102" ht="13.5" customHeight="1">
      <c r="A42" s="398"/>
      <c r="B42" s="399"/>
      <c r="C42" s="74"/>
      <c r="D42" s="190" t="str">
        <f t="shared" si="60"/>
        <v/>
      </c>
      <c r="E42" s="191" t="str">
        <f>IF(C42&lt;&gt;"",AC6+AC22,"")</f>
        <v/>
      </c>
      <c r="F42" s="74"/>
      <c r="G42" s="75" t="str">
        <f ca="1">IF(AND(A42&lt;&gt;"",C42&lt;&gt;""),IF(AND(F42="",TODAY()&gt;E42-Demande!B$83),"Avis non reçu",IF(F42&gt;E42,"Réputé favorable","")),"")</f>
        <v/>
      </c>
      <c r="P42" t="s">
        <v>63</v>
      </c>
      <c r="Q42" s="288" t="e">
        <f>IF(AND(Q27&lt;&gt;"samedi",Q27&lt;&gt;"dimanche"),IF(AND(Q40=1,Q27="vendredi"),3,IF(AND(Q40=1,Q27="samedi"),2,IF(Q40=1,1,0))),IF(AND(Q27="samedi",S40=1),3,IF(Q27="samedi",2,IF(AND(Q27="dimanche",R40=1),2,1))))</f>
        <v>#VALUE!</v>
      </c>
      <c r="R42" s="1"/>
      <c r="S42" s="175"/>
      <c r="T42" s="288" t="e">
        <f>IF(AND(T27&lt;&gt;"samedi",T27&lt;&gt;"dimanche"),IF(AND(T40=1,T27="vendredi"),3,IF(AND(T40=1,T27="samedi"),2,IF(T40=1,1,0))),IF(AND(T27="samedi",V40=1),3,IF(T27="samedi",2,IF(AND(T27="dimanche",U40=1),2,1))))</f>
        <v>#VALUE!</v>
      </c>
      <c r="U42" s="1"/>
      <c r="V42" s="1"/>
      <c r="W42" s="288" t="e">
        <f>IF(AND(W27&lt;&gt;"samedi",W27&lt;&gt;"dimanche"),IF(AND(W40=1,W27="vendredi"),3,IF(AND(W40=1,W27="samedi"),2,IF(W40=1,1,0))),IF(AND(W27="samedi",Y40=1),3,IF(W27="samedi",2,IF(AND(W27="dimanche",X40=1),2,1))))</f>
        <v>#VALUE!</v>
      </c>
      <c r="X42" s="1"/>
      <c r="Y42" s="297"/>
      <c r="Z42" s="288">
        <f>IF(AND(Z27&lt;&gt;"samedi",Z27&lt;&gt;"dimanche"),IF(AND(Z40=1,Z27="vendredi"),3,IF(AND(Z40=1,Z27="samedi"),2,IF(Z40=1,1,0))),IF(AND(Z27="samedi",AB40=1),3,IF(Z27="samedi",2,IF(AND(Z27="dimanche",AA40=1),2,1))))</f>
        <v>0</v>
      </c>
      <c r="AA42" s="277"/>
      <c r="AB42" s="300"/>
      <c r="AC42" s="288" t="e">
        <f>IF(AND(AC27&lt;&gt;"samedi",AC27&lt;&gt;"dimanche"),IF(AND(AC40=1,AC27="vendredi"),3,IF(AND(AC40=1,AC27="samedi"),2,IF(AC40=1,1,0))),IF(AND(AC27="samedi",AE40=1),3,IF(AC27="samedi",2,IF(AND(AC27="dimanche",AD40=1),2,1))))</f>
        <v>#VALUE!</v>
      </c>
      <c r="AD42" s="277"/>
      <c r="AE42" s="300"/>
      <c r="AF42" s="288" t="e">
        <f>IF(AND(AF27&lt;&gt;"samedi",AF27&lt;&gt;"dimanche"),IF(AND(AF40=1,AF27="vendredi"),3,IF(AND(AF40=1,AF27="samedi"),2,IF(AF40=1,1,0))),IF(AND(AF27="samedi",AH40=1),3,IF(AF27="samedi",2,IF(AND(AF27="dimanche",AG40=1),2,1))))</f>
        <v>#VALUE!</v>
      </c>
      <c r="AG42" s="277"/>
      <c r="AH42" s="300"/>
      <c r="CX42" s="25"/>
    </row>
    <row r="43" spans="1:102" ht="13.5" customHeight="1">
      <c r="A43" s="398"/>
      <c r="B43" s="399"/>
      <c r="C43" s="74"/>
      <c r="D43" s="190" t="str">
        <f t="shared" si="60"/>
        <v/>
      </c>
      <c r="E43" s="191" t="str">
        <f>IF(C43&lt;&gt;"",AF6+AF22,"")</f>
        <v/>
      </c>
      <c r="F43" s="74"/>
      <c r="G43" s="75" t="str">
        <f ca="1">IF(AND(A43&lt;&gt;"",C43&lt;&gt;""),IF(AND(F43="",TODAY()&gt;E43-Demande!B$83),"Avis non reçu",IF(F43&gt;E43,"Réputé favorable","")),"")</f>
        <v/>
      </c>
      <c r="CX43" s="25"/>
    </row>
    <row r="44" spans="1:102" ht="13.5" customHeight="1">
      <c r="A44" s="398"/>
      <c r="B44" s="399"/>
      <c r="C44" s="74"/>
      <c r="D44" s="190" t="str">
        <f t="shared" si="60"/>
        <v/>
      </c>
      <c r="E44" s="191" t="str">
        <f>IF(C44&lt;&gt;"",AI6+AI22,"")</f>
        <v/>
      </c>
      <c r="F44" s="74"/>
      <c r="G44" s="75" t="str">
        <f ca="1">IF(AND(A44&lt;&gt;"",C44&lt;&gt;""),IF(AND(F44="",TODAY()&gt;E44-Demande!B$83),"Avis non reçu",IF(F44&gt;E44,"Réputé favorable","")),"")</f>
        <v/>
      </c>
      <c r="CX44" s="25"/>
    </row>
    <row r="45" spans="1:102" ht="13.5" customHeight="1">
      <c r="A45" s="398"/>
      <c r="B45" s="399"/>
      <c r="C45" s="74"/>
      <c r="D45" s="190" t="str">
        <f t="shared" si="60"/>
        <v/>
      </c>
      <c r="E45" s="191" t="str">
        <f>IF(C45&lt;&gt;"",AL6+AL22,"")</f>
        <v/>
      </c>
      <c r="F45" s="74"/>
      <c r="G45" s="75" t="str">
        <f ca="1">IF(AND(A45&lt;&gt;"",C45&lt;&gt;""),IF(AND(F45="",TODAY()&gt;E45-Demande!B$83),"Avis non reçu",IF(F45&gt;E45,"Réputé favorable","")),"")</f>
        <v/>
      </c>
      <c r="CX45" s="25"/>
    </row>
    <row r="46" spans="1:102" ht="13.5" customHeight="1">
      <c r="A46" s="398"/>
      <c r="B46" s="399"/>
      <c r="C46" s="74"/>
      <c r="D46" s="190" t="str">
        <f t="shared" si="60"/>
        <v/>
      </c>
      <c r="E46" s="191" t="str">
        <f>IF(C46&lt;&gt;"",AO6+AO22,"")</f>
        <v/>
      </c>
      <c r="F46" s="138"/>
      <c r="G46" s="75" t="str">
        <f ca="1">IF(AND(A46&lt;&gt;"",C46&lt;&gt;""),IF(AND(F46="",TODAY()&gt;E46-Demande!B$83),"Avis non reçu",IF(F46&gt;E46,"Réputé favorable","")),"")</f>
        <v/>
      </c>
      <c r="H46" s="1"/>
      <c r="CX46" s="25"/>
    </row>
    <row r="47" spans="1:102" ht="13.5" customHeight="1">
      <c r="A47" s="398"/>
      <c r="B47" s="399"/>
      <c r="C47" s="74"/>
      <c r="D47" s="190" t="str">
        <f t="shared" si="60"/>
        <v/>
      </c>
      <c r="E47" s="191" t="str">
        <f>IF(C47&lt;&gt;"",AR6+AR22,"")</f>
        <v/>
      </c>
      <c r="F47" s="138"/>
      <c r="G47" s="75" t="str">
        <f ca="1">IF(AND(A47&lt;&gt;"",C47&lt;&gt;""),IF(AND(F47="",TODAY()&gt;E47-Demande!B$83),"Avis non reçu",IF(F47&gt;E47,"Réputé favorable","")),"")</f>
        <v/>
      </c>
    </row>
    <row r="48" spans="1:102" ht="13.5" customHeight="1">
      <c r="A48" s="398"/>
      <c r="B48" s="399"/>
      <c r="C48" s="74"/>
      <c r="D48" s="190" t="str">
        <f t="shared" si="60"/>
        <v/>
      </c>
      <c r="E48" s="191" t="str">
        <f>IF(C48&lt;&gt;"",AU6+AU22,"")</f>
        <v/>
      </c>
      <c r="F48" s="138"/>
      <c r="G48" s="75" t="str">
        <f ca="1">IF(AND(A48&lt;&gt;"",C48&lt;&gt;""),IF(AND(F48="",TODAY()&gt;E48-Demande!B$83),"Avis non reçu",IF(F48&gt;E48,"Réputé favorable","")),"")</f>
        <v/>
      </c>
      <c r="H48" s="1"/>
      <c r="CX48" s="25"/>
    </row>
    <row r="49" spans="1:102" ht="13.5" customHeight="1">
      <c r="A49" s="398"/>
      <c r="B49" s="399"/>
      <c r="C49" s="74"/>
      <c r="D49" s="190" t="str">
        <f t="shared" si="60"/>
        <v/>
      </c>
      <c r="E49" s="191" t="str">
        <f>IF(C49&lt;&gt;"",AX6+AX22,"")</f>
        <v/>
      </c>
      <c r="F49" s="138"/>
      <c r="G49" s="75" t="str">
        <f ca="1">IF(AND(A49&lt;&gt;"",C49&lt;&gt;""),IF(AND(F49="",TODAY()&gt;E49-Demande!B$83),"Avis non reçu",IF(F49&gt;E49,"Réputé favorable","")),"")</f>
        <v/>
      </c>
      <c r="H49" s="1"/>
      <c r="W49" s="180" t="s">
        <v>981</v>
      </c>
      <c r="X49" s="289"/>
      <c r="Y49" s="301"/>
      <c r="Z49" s="180" t="s">
        <v>984</v>
      </c>
      <c r="AA49" s="290"/>
      <c r="AB49" s="295"/>
      <c r="AC49" s="180" t="s">
        <v>13</v>
      </c>
      <c r="AD49" s="290"/>
      <c r="AE49" s="295"/>
      <c r="AF49" s="180" t="s">
        <v>1088</v>
      </c>
      <c r="AG49" s="81"/>
      <c r="AH49" s="290"/>
      <c r="CX49" s="25"/>
    </row>
    <row r="50" spans="1:102" ht="13.5" customHeight="1">
      <c r="A50" s="398"/>
      <c r="B50" s="399"/>
      <c r="C50" s="74"/>
      <c r="D50" s="190" t="str">
        <f t="shared" si="60"/>
        <v/>
      </c>
      <c r="E50" s="191" t="str">
        <f>IF(C50&lt;&gt;"",BA6+BA22,"")</f>
        <v/>
      </c>
      <c r="F50" s="138"/>
      <c r="G50" s="75" t="str">
        <f ca="1">IF(AND(A50&lt;&gt;"",C50&lt;&gt;""),IF(AND(F50="",TODAY()&gt;E50-Demande!B$83),"Avis non reçu",IF(F50&gt;E50,"Réputé favorable","")),"")</f>
        <v/>
      </c>
      <c r="W50" s="182" t="s">
        <v>24</v>
      </c>
      <c r="X50" s="22" t="s">
        <v>25</v>
      </c>
      <c r="Y50" s="284" t="s">
        <v>26</v>
      </c>
      <c r="Z50" s="168" t="s">
        <v>24</v>
      </c>
      <c r="AA50" s="22" t="s">
        <v>25</v>
      </c>
      <c r="AB50" s="284" t="s">
        <v>26</v>
      </c>
      <c r="AC50" s="182" t="s">
        <v>24</v>
      </c>
      <c r="AD50" s="22" t="s">
        <v>25</v>
      </c>
      <c r="AE50" s="284" t="s">
        <v>26</v>
      </c>
      <c r="AF50" s="182" t="s">
        <v>24</v>
      </c>
      <c r="AG50" s="22" t="s">
        <v>25</v>
      </c>
      <c r="AH50" s="284" t="s">
        <v>26</v>
      </c>
      <c r="CX50" s="25"/>
    </row>
    <row r="51" spans="1:102" ht="13.5" customHeight="1">
      <c r="A51" s="398"/>
      <c r="B51" s="399"/>
      <c r="C51" s="74"/>
      <c r="D51" s="190" t="str">
        <f t="shared" si="60"/>
        <v/>
      </c>
      <c r="E51" s="191" t="str">
        <f>IF(C51&lt;&gt;"",BD6+BD22,"")</f>
        <v/>
      </c>
      <c r="F51" s="138"/>
      <c r="G51" s="75" t="str">
        <f ca="1">IF(AND(A51&lt;&gt;"",C51&lt;&gt;""),IF(AND(F51="",TODAY()&gt;E51-Demande!B$83),"Avis non reçu",IF(F51&gt;E51,"Réputé favorable","")),"")</f>
        <v/>
      </c>
      <c r="V51" s="282" t="s">
        <v>65</v>
      </c>
      <c r="W51" s="203" t="str">
        <f>IF(F17&lt;&gt;"",F17+Demande!M7,"")</f>
        <v/>
      </c>
      <c r="X51" s="25" t="e">
        <f>W51+1</f>
        <v>#VALUE!</v>
      </c>
      <c r="Y51" s="285" t="e">
        <f>W51+2</f>
        <v>#VALUE!</v>
      </c>
      <c r="Z51" s="176" t="e">
        <f>G15+AA52+I6+E21</f>
        <v>#VALUE!</v>
      </c>
      <c r="AA51" s="63" t="e">
        <f>Z51+1</f>
        <v>#VALUE!</v>
      </c>
      <c r="AB51" s="296" t="e">
        <f>Z51+2</f>
        <v>#VALUE!</v>
      </c>
      <c r="AC51" s="203" t="str">
        <f>IF(F17&lt;&gt;"",IF(Demande!L79=1,IF(AND(F26&lt;&gt;"",F26&lt;=F23),IF(OR(Demande!L75=1,Demande!L76=TRUE,Demande!L83=6),F27+Demande!M13,F27+Demande!M11),G15+AD52+I6+E21),G15+AD52+I6+E21),"")</f>
        <v/>
      </c>
      <c r="AD51" s="63" t="e">
        <f>AC51+1</f>
        <v>#VALUE!</v>
      </c>
      <c r="AE51" s="296" t="e">
        <f>AC51+2</f>
        <v>#VALUE!</v>
      </c>
      <c r="AF51" s="203" t="str">
        <f ca="1">IF(AND(Demande!L81=TRUE,J5=1),G23+Demande!M27,"")</f>
        <v/>
      </c>
      <c r="AG51" s="63" t="e">
        <f ca="1">AF51+1</f>
        <v>#VALUE!</v>
      </c>
      <c r="AH51" s="296" t="e">
        <f ca="1">AF51+2</f>
        <v>#VALUE!</v>
      </c>
    </row>
    <row r="52" spans="1:102" ht="13.5" customHeight="1">
      <c r="A52" s="398"/>
      <c r="B52" s="399"/>
      <c r="C52" s="74"/>
      <c r="D52" s="190" t="str">
        <f t="shared" si="60"/>
        <v/>
      </c>
      <c r="E52" s="191" t="str">
        <f>IF(C52&lt;&gt;"",BG6+BG22,"")</f>
        <v/>
      </c>
      <c r="F52" s="138"/>
      <c r="G52" s="75" t="str">
        <f ca="1">IF(AND(A52&lt;&gt;"",C52&lt;&gt;""),IF(AND(F52="",TODAY()&gt;E52-Demande!B$83),"Avis non reçu",IF(F52&gt;E52,"Réputé favorable","")),"")</f>
        <v/>
      </c>
      <c r="V52" s="19" t="s">
        <v>28</v>
      </c>
      <c r="W52" s="287" t="str">
        <f>TEXT(W51,"jjjj")</f>
        <v/>
      </c>
      <c r="X52" s="64"/>
      <c r="Y52" s="189"/>
      <c r="Z52" s="170" t="e">
        <f>TEXT(Z51,"jjjj")</f>
        <v>#VALUE!</v>
      </c>
      <c r="AA52" s="64">
        <f>IF(OR(Demande!L75=1,Demande!L76=TRUE,Demande!L83=6),Demande!M9,Demande!M8+IF(Demande!L76=TRUE,Demande!M16-Demande!M16,0))</f>
        <v>70</v>
      </c>
      <c r="AB52" s="297"/>
      <c r="AC52" s="287" t="str">
        <f>TEXT(AC51,"jjjj")</f>
        <v/>
      </c>
      <c r="AD52" s="64">
        <f>IF(OR(Demande!L75=1,Demande!L76=TRUE,Demande!L83=6),Demande!M12,Demande!M10+IF(Demande!L76=TRUE,Demande!M16-Demande!M16,0))</f>
        <v>90</v>
      </c>
      <c r="AE52" s="297"/>
      <c r="AF52" s="287" t="str">
        <f ca="1">TEXT(AF51,"jjjj")</f>
        <v/>
      </c>
      <c r="AG52" s="343"/>
      <c r="AH52" s="297"/>
    </row>
    <row r="53" spans="1:102" ht="13.5" customHeight="1">
      <c r="A53" s="398"/>
      <c r="B53" s="399"/>
      <c r="C53" s="74"/>
      <c r="D53" s="190" t="str">
        <f t="shared" si="60"/>
        <v/>
      </c>
      <c r="E53" s="191" t="str">
        <f>IF(C53&lt;&gt;"",BJ6+BJ22,"")</f>
        <v/>
      </c>
      <c r="F53" s="138"/>
      <c r="G53" s="75" t="str">
        <f ca="1">IF(AND(A53&lt;&gt;"",C53&lt;&gt;""),IF(AND(F53="",TODAY()&gt;E53-Demande!B$83),"Avis non reçu",IF(F53&gt;E53,"Réputé favorable","")),"")</f>
        <v/>
      </c>
      <c r="V53" s="283">
        <v>37257</v>
      </c>
      <c r="W53" s="203" t="e">
        <f t="shared" ref="W53:AE53" si="64">DATE(YEAR(W51),1,1)</f>
        <v>#VALUE!</v>
      </c>
      <c r="X53" s="25" t="e">
        <f t="shared" si="64"/>
        <v>#VALUE!</v>
      </c>
      <c r="Y53" s="285" t="e">
        <f t="shared" si="64"/>
        <v>#VALUE!</v>
      </c>
      <c r="Z53" s="169" t="e">
        <f t="shared" si="64"/>
        <v>#VALUE!</v>
      </c>
      <c r="AA53" s="63" t="e">
        <f t="shared" si="64"/>
        <v>#VALUE!</v>
      </c>
      <c r="AB53" s="296" t="e">
        <f t="shared" si="64"/>
        <v>#VALUE!</v>
      </c>
      <c r="AC53" s="294" t="e">
        <f t="shared" si="64"/>
        <v>#VALUE!</v>
      </c>
      <c r="AD53" s="63" t="e">
        <f t="shared" si="64"/>
        <v>#VALUE!</v>
      </c>
      <c r="AE53" s="296" t="e">
        <f t="shared" si="64"/>
        <v>#VALUE!</v>
      </c>
      <c r="AF53" s="294" t="e">
        <f t="shared" ref="AF53:AH53" ca="1" si="65">DATE(YEAR(AF51),1,1)</f>
        <v>#VALUE!</v>
      </c>
      <c r="AG53" s="63" t="e">
        <f t="shared" ca="1" si="65"/>
        <v>#VALUE!</v>
      </c>
      <c r="AH53" s="296" t="e">
        <f t="shared" ca="1" si="65"/>
        <v>#VALUE!</v>
      </c>
      <c r="CX53" s="6"/>
    </row>
    <row r="54" spans="1:102" ht="13.5" customHeight="1">
      <c r="A54" s="398"/>
      <c r="B54" s="399"/>
      <c r="C54" s="74"/>
      <c r="D54" s="190" t="str">
        <f t="shared" si="60"/>
        <v/>
      </c>
      <c r="E54" s="191" t="str">
        <f>IF(C54&lt;&gt;"",BM6+BM22,"")</f>
        <v/>
      </c>
      <c r="F54" s="138"/>
      <c r="G54" s="75" t="str">
        <f ca="1">IF(AND(A54&lt;&gt;"",C54&lt;&gt;""),IF(AND(F54="",TODAY()&gt;E54-Demande!B$83),"Avis non reçu",IF(F54&gt;E54,"Réputé favorable","")),"")</f>
        <v/>
      </c>
      <c r="V54" s="283">
        <v>37377</v>
      </c>
      <c r="W54" s="203" t="e">
        <f t="shared" ref="W54:AE54" si="66">DATE(YEAR(W51),5,1)</f>
        <v>#VALUE!</v>
      </c>
      <c r="X54" s="25" t="e">
        <f t="shared" si="66"/>
        <v>#VALUE!</v>
      </c>
      <c r="Y54" s="285" t="e">
        <f t="shared" si="66"/>
        <v>#VALUE!</v>
      </c>
      <c r="Z54" s="169" t="e">
        <f t="shared" si="66"/>
        <v>#VALUE!</v>
      </c>
      <c r="AA54" s="63" t="e">
        <f t="shared" si="66"/>
        <v>#VALUE!</v>
      </c>
      <c r="AB54" s="296" t="e">
        <f t="shared" si="66"/>
        <v>#VALUE!</v>
      </c>
      <c r="AC54" s="294" t="e">
        <f t="shared" si="66"/>
        <v>#VALUE!</v>
      </c>
      <c r="AD54" s="63" t="e">
        <f t="shared" si="66"/>
        <v>#VALUE!</v>
      </c>
      <c r="AE54" s="296" t="e">
        <f t="shared" si="66"/>
        <v>#VALUE!</v>
      </c>
      <c r="AF54" s="294" t="e">
        <f t="shared" ref="AF54:AH54" ca="1" si="67">DATE(YEAR(AF51),5,1)</f>
        <v>#VALUE!</v>
      </c>
      <c r="AG54" s="63" t="e">
        <f t="shared" ca="1" si="67"/>
        <v>#VALUE!</v>
      </c>
      <c r="AH54" s="296" t="e">
        <f t="shared" ca="1" si="67"/>
        <v>#VALUE!</v>
      </c>
    </row>
    <row r="55" spans="1:102" ht="13.5" customHeight="1">
      <c r="A55" s="398"/>
      <c r="B55" s="399"/>
      <c r="C55" s="74"/>
      <c r="D55" s="190" t="str">
        <f t="shared" si="60"/>
        <v/>
      </c>
      <c r="E55" s="191" t="str">
        <f>IF(C55&lt;&gt;"",BP6+BP22,"")</f>
        <v/>
      </c>
      <c r="F55" s="138"/>
      <c r="G55" s="75" t="str">
        <f ca="1">IF(AND(A55&lt;&gt;"",C55&lt;&gt;""),IF(AND(F55="",TODAY()&gt;E55-Demande!B$83),"Avis non reçu",IF(F55&gt;E55,"Réputé favorable","")),"")</f>
        <v/>
      </c>
      <c r="V55" s="283">
        <v>37458</v>
      </c>
      <c r="W55" s="203" t="e">
        <f t="shared" ref="W55:AE55" si="68">DATE(YEAR(W51),7,21)</f>
        <v>#VALUE!</v>
      </c>
      <c r="X55" s="25" t="e">
        <f t="shared" si="68"/>
        <v>#VALUE!</v>
      </c>
      <c r="Y55" s="285" t="e">
        <f t="shared" si="68"/>
        <v>#VALUE!</v>
      </c>
      <c r="Z55" s="169" t="e">
        <f t="shared" si="68"/>
        <v>#VALUE!</v>
      </c>
      <c r="AA55" s="63" t="e">
        <f t="shared" si="68"/>
        <v>#VALUE!</v>
      </c>
      <c r="AB55" s="296" t="e">
        <f t="shared" si="68"/>
        <v>#VALUE!</v>
      </c>
      <c r="AC55" s="294" t="e">
        <f t="shared" si="68"/>
        <v>#VALUE!</v>
      </c>
      <c r="AD55" s="63" t="e">
        <f t="shared" si="68"/>
        <v>#VALUE!</v>
      </c>
      <c r="AE55" s="296" t="e">
        <f t="shared" si="68"/>
        <v>#VALUE!</v>
      </c>
      <c r="AF55" s="294" t="e">
        <f t="shared" ref="AF55:AH55" ca="1" si="69">DATE(YEAR(AF51),7,21)</f>
        <v>#VALUE!</v>
      </c>
      <c r="AG55" s="63" t="e">
        <f t="shared" ca="1" si="69"/>
        <v>#VALUE!</v>
      </c>
      <c r="AH55" s="296" t="e">
        <f t="shared" ca="1" si="69"/>
        <v>#VALUE!</v>
      </c>
    </row>
    <row r="56" spans="1:102" ht="13.5" customHeight="1">
      <c r="A56" s="398"/>
      <c r="B56" s="399"/>
      <c r="C56" s="74"/>
      <c r="D56" s="190" t="str">
        <f t="shared" si="60"/>
        <v/>
      </c>
      <c r="E56" s="191" t="str">
        <f>IF(C56&lt;&gt;"",BS6+BS22,"")</f>
        <v/>
      </c>
      <c r="F56" s="138"/>
      <c r="G56" s="75" t="str">
        <f ca="1">IF(AND(A56&lt;&gt;"",C56&lt;&gt;""),IF(AND(F56="",TODAY()&gt;E56-Demande!B$83),"Avis non reçu",IF(F56&gt;E56,"Réputé favorable","")),"")</f>
        <v/>
      </c>
      <c r="V56" s="283">
        <v>37483</v>
      </c>
      <c r="W56" s="203" t="e">
        <f t="shared" ref="W56:AE56" si="70">DATE(YEAR(W51),8,15)</f>
        <v>#VALUE!</v>
      </c>
      <c r="X56" s="25" t="e">
        <f t="shared" si="70"/>
        <v>#VALUE!</v>
      </c>
      <c r="Y56" s="285" t="e">
        <f t="shared" si="70"/>
        <v>#VALUE!</v>
      </c>
      <c r="Z56" s="169" t="e">
        <f t="shared" si="70"/>
        <v>#VALUE!</v>
      </c>
      <c r="AA56" s="63" t="e">
        <f t="shared" si="70"/>
        <v>#VALUE!</v>
      </c>
      <c r="AB56" s="296" t="e">
        <f t="shared" si="70"/>
        <v>#VALUE!</v>
      </c>
      <c r="AC56" s="294" t="e">
        <f t="shared" si="70"/>
        <v>#VALUE!</v>
      </c>
      <c r="AD56" s="63" t="e">
        <f t="shared" si="70"/>
        <v>#VALUE!</v>
      </c>
      <c r="AE56" s="296" t="e">
        <f t="shared" si="70"/>
        <v>#VALUE!</v>
      </c>
      <c r="AF56" s="294" t="e">
        <f t="shared" ref="AF56:AH56" ca="1" si="71">DATE(YEAR(AF51),8,15)</f>
        <v>#VALUE!</v>
      </c>
      <c r="AG56" s="63" t="e">
        <f t="shared" ca="1" si="71"/>
        <v>#VALUE!</v>
      </c>
      <c r="AH56" s="296" t="e">
        <f t="shared" ca="1" si="71"/>
        <v>#VALUE!</v>
      </c>
    </row>
    <row r="57" spans="1:102" ht="13.5" customHeight="1">
      <c r="A57" s="398"/>
      <c r="B57" s="399"/>
      <c r="C57" s="74"/>
      <c r="D57" s="190" t="str">
        <f t="shared" si="60"/>
        <v/>
      </c>
      <c r="E57" s="191" t="str">
        <f>IF(C57&lt;&gt;"",BV6+BV22,"")</f>
        <v/>
      </c>
      <c r="F57" s="138"/>
      <c r="G57" s="75" t="str">
        <f ca="1">IF(AND(A57&lt;&gt;"",C57&lt;&gt;""),IF(AND(F57="",TODAY()&gt;E57-Demande!B$83),"Avis non reçu",IF(F57&gt;E57,"Réputé favorable","")),"")</f>
        <v/>
      </c>
      <c r="V57" s="283">
        <v>37561</v>
      </c>
      <c r="W57" s="203" t="e">
        <f t="shared" ref="W57:AE57" si="72">DATE(YEAR(W51),11,1)</f>
        <v>#VALUE!</v>
      </c>
      <c r="X57" s="25" t="e">
        <f t="shared" si="72"/>
        <v>#VALUE!</v>
      </c>
      <c r="Y57" s="285" t="e">
        <f t="shared" si="72"/>
        <v>#VALUE!</v>
      </c>
      <c r="Z57" s="169" t="e">
        <f t="shared" si="72"/>
        <v>#VALUE!</v>
      </c>
      <c r="AA57" s="63" t="e">
        <f t="shared" si="72"/>
        <v>#VALUE!</v>
      </c>
      <c r="AB57" s="296" t="e">
        <f t="shared" si="72"/>
        <v>#VALUE!</v>
      </c>
      <c r="AC57" s="294" t="e">
        <f t="shared" si="72"/>
        <v>#VALUE!</v>
      </c>
      <c r="AD57" s="63" t="e">
        <f t="shared" si="72"/>
        <v>#VALUE!</v>
      </c>
      <c r="AE57" s="296" t="e">
        <f t="shared" si="72"/>
        <v>#VALUE!</v>
      </c>
      <c r="AF57" s="294" t="e">
        <f t="shared" ref="AF57:AH57" ca="1" si="73">DATE(YEAR(AF51),11,1)</f>
        <v>#VALUE!</v>
      </c>
      <c r="AG57" s="63" t="e">
        <f t="shared" ca="1" si="73"/>
        <v>#VALUE!</v>
      </c>
      <c r="AH57" s="296" t="e">
        <f t="shared" ca="1" si="73"/>
        <v>#VALUE!</v>
      </c>
    </row>
    <row r="58" spans="1:102" ht="13.5" customHeight="1">
      <c r="A58" s="398"/>
      <c r="B58" s="399"/>
      <c r="C58" s="74"/>
      <c r="D58" s="190" t="str">
        <f t="shared" si="60"/>
        <v/>
      </c>
      <c r="E58" s="191" t="str">
        <f>IF(C58&lt;&gt;"",BY6+BY22,"")</f>
        <v/>
      </c>
      <c r="F58" s="138"/>
      <c r="G58" s="75" t="str">
        <f ca="1">IF(AND(A58&lt;&gt;"",C58&lt;&gt;""),IF(AND(F58="",TODAY()&gt;E58-Demande!B$83),"Avis non reçu",IF(F58&gt;E58,"Réputé favorable","")),"")</f>
        <v/>
      </c>
      <c r="V58" s="283">
        <v>37571</v>
      </c>
      <c r="W58" s="203" t="e">
        <f t="shared" ref="W58:AE58" si="74">DATE(YEAR(W51),11,11)</f>
        <v>#VALUE!</v>
      </c>
      <c r="X58" s="25" t="e">
        <f t="shared" si="74"/>
        <v>#VALUE!</v>
      </c>
      <c r="Y58" s="285" t="e">
        <f t="shared" si="74"/>
        <v>#VALUE!</v>
      </c>
      <c r="Z58" s="169" t="e">
        <f t="shared" si="74"/>
        <v>#VALUE!</v>
      </c>
      <c r="AA58" s="63" t="e">
        <f t="shared" si="74"/>
        <v>#VALUE!</v>
      </c>
      <c r="AB58" s="296" t="e">
        <f t="shared" si="74"/>
        <v>#VALUE!</v>
      </c>
      <c r="AC58" s="294" t="e">
        <f t="shared" si="74"/>
        <v>#VALUE!</v>
      </c>
      <c r="AD58" s="63" t="e">
        <f t="shared" si="74"/>
        <v>#VALUE!</v>
      </c>
      <c r="AE58" s="296" t="e">
        <f t="shared" si="74"/>
        <v>#VALUE!</v>
      </c>
      <c r="AF58" s="294" t="e">
        <f t="shared" ref="AF58:AH58" ca="1" si="75">DATE(YEAR(AF51),11,11)</f>
        <v>#VALUE!</v>
      </c>
      <c r="AG58" s="63" t="e">
        <f t="shared" ca="1" si="75"/>
        <v>#VALUE!</v>
      </c>
      <c r="AH58" s="296" t="e">
        <f t="shared" ca="1" si="75"/>
        <v>#VALUE!</v>
      </c>
    </row>
    <row r="59" spans="1:102" ht="13.5" customHeight="1">
      <c r="A59" s="398"/>
      <c r="B59" s="399"/>
      <c r="C59" s="74"/>
      <c r="D59" s="190" t="str">
        <f t="shared" si="60"/>
        <v/>
      </c>
      <c r="E59" s="191" t="str">
        <f>IF(C59&lt;&gt;"",CB6+CB22,"")</f>
        <v/>
      </c>
      <c r="F59" s="138"/>
      <c r="G59" s="75" t="str">
        <f ca="1">IF(AND(A59&lt;&gt;"",C59&lt;&gt;""),IF(AND(F59="",TODAY()&gt;E59-Demande!B$83),"Avis non reçu",IF(F59&gt;E59,"Réputé favorable","")),"")</f>
        <v/>
      </c>
      <c r="V59" s="283">
        <v>37615</v>
      </c>
      <c r="W59" s="203" t="e">
        <f t="shared" ref="W59:AE59" si="76">DATE(YEAR(W51),12,25)</f>
        <v>#VALUE!</v>
      </c>
      <c r="X59" s="25" t="e">
        <f t="shared" si="76"/>
        <v>#VALUE!</v>
      </c>
      <c r="Y59" s="285" t="e">
        <f t="shared" si="76"/>
        <v>#VALUE!</v>
      </c>
      <c r="Z59" s="169" t="e">
        <f t="shared" si="76"/>
        <v>#VALUE!</v>
      </c>
      <c r="AA59" s="63" t="e">
        <f t="shared" si="76"/>
        <v>#VALUE!</v>
      </c>
      <c r="AB59" s="296" t="e">
        <f t="shared" si="76"/>
        <v>#VALUE!</v>
      </c>
      <c r="AC59" s="294" t="e">
        <f t="shared" si="76"/>
        <v>#VALUE!</v>
      </c>
      <c r="AD59" s="63" t="e">
        <f t="shared" si="76"/>
        <v>#VALUE!</v>
      </c>
      <c r="AE59" s="296" t="e">
        <f t="shared" si="76"/>
        <v>#VALUE!</v>
      </c>
      <c r="AF59" s="294" t="e">
        <f t="shared" ref="AF59:AH59" ca="1" si="77">DATE(YEAR(AF51),12,25)</f>
        <v>#VALUE!</v>
      </c>
      <c r="AG59" s="63" t="e">
        <f t="shared" ca="1" si="77"/>
        <v>#VALUE!</v>
      </c>
      <c r="AH59" s="296" t="e">
        <f t="shared" ca="1" si="77"/>
        <v>#VALUE!</v>
      </c>
    </row>
    <row r="60" spans="1:102" ht="13.5" customHeight="1">
      <c r="A60" s="398"/>
      <c r="B60" s="399"/>
      <c r="C60" s="74"/>
      <c r="D60" s="190" t="str">
        <f t="shared" si="60"/>
        <v/>
      </c>
      <c r="E60" s="191" t="str">
        <f>IF(C60&lt;&gt;"",CE6+CE22,"")</f>
        <v/>
      </c>
      <c r="F60" s="138"/>
      <c r="G60" s="75" t="str">
        <f ca="1">IF(AND(A60&lt;&gt;"",C60&lt;&gt;""),IF(AND(F60="",TODAY()&gt;E60-Demande!B$83),"Avis non reçu",IF(F60&gt;E60,"Réputé favorable","")),"")</f>
        <v/>
      </c>
      <c r="V60" s="304" t="s">
        <v>43</v>
      </c>
      <c r="W60" s="212" t="e">
        <f t="shared" ref="W60:AE60" si="78">IF(W51&lt;&gt;W53,IF(W51&lt;&gt;W54,IF(W51&lt;&gt;W55,IF(W51&lt;&gt;W56,IF(W51&lt;&gt;W57,IF(W51&lt;&gt;W58,IF(W51&lt;&gt;W59,0,1),1),1),1),1),1),1)</f>
        <v>#VALUE!</v>
      </c>
      <c r="X60" s="70" t="e">
        <f t="shared" si="78"/>
        <v>#VALUE!</v>
      </c>
      <c r="Y60" s="278" t="e">
        <f t="shared" si="78"/>
        <v>#VALUE!</v>
      </c>
      <c r="Z60" s="171" t="e">
        <f t="shared" si="78"/>
        <v>#VALUE!</v>
      </c>
      <c r="AA60" s="70" t="e">
        <f t="shared" si="78"/>
        <v>#VALUE!</v>
      </c>
      <c r="AB60" s="278" t="e">
        <f t="shared" si="78"/>
        <v>#VALUE!</v>
      </c>
      <c r="AC60" s="212" t="e">
        <f t="shared" si="78"/>
        <v>#VALUE!</v>
      </c>
      <c r="AD60" s="70" t="e">
        <f t="shared" si="78"/>
        <v>#VALUE!</v>
      </c>
      <c r="AE60" s="278" t="e">
        <f t="shared" si="78"/>
        <v>#VALUE!</v>
      </c>
      <c r="AF60" s="212" t="e">
        <f t="shared" ref="AF60:AH60" ca="1" si="79">IF(AF51&lt;&gt;AF53,IF(AF51&lt;&gt;AF54,IF(AF51&lt;&gt;AF55,IF(AF51&lt;&gt;AF56,IF(AF51&lt;&gt;AF57,IF(AF51&lt;&gt;AF58,IF(AF51&lt;&gt;AF59,0,1),1),1),1),1),1),1)</f>
        <v>#VALUE!</v>
      </c>
      <c r="AG60" s="70" t="e">
        <f t="shared" ca="1" si="79"/>
        <v>#VALUE!</v>
      </c>
      <c r="AH60" s="278" t="e">
        <f t="shared" ca="1" si="79"/>
        <v>#VALUE!</v>
      </c>
    </row>
    <row r="61" spans="1:102" ht="13.5" customHeight="1">
      <c r="A61" s="398"/>
      <c r="B61" s="399"/>
      <c r="C61" s="74"/>
      <c r="D61" s="190" t="str">
        <f t="shared" si="60"/>
        <v/>
      </c>
      <c r="E61" s="191" t="str">
        <f>IF(C61&lt;&gt;"",CH6+CH22,"")</f>
        <v/>
      </c>
      <c r="F61" s="138"/>
      <c r="G61" s="75" t="str">
        <f ca="1">IF(AND(A61&lt;&gt;"",C61&lt;&gt;""),IF(AND(F61="",TODAY()&gt;E61-Demande!B$83),"Avis non reçu",IF(F61&gt;E61,"Réputé favorable","")),"")</f>
        <v/>
      </c>
      <c r="V61" s="19" t="s">
        <v>46</v>
      </c>
      <c r="W61" s="203" t="e">
        <f t="shared" ref="W61:AE61" si="80">DOLLAR((DAY(MINUTE(YEAR(W51)/38)/2+55)&amp;"/4/"&amp;YEAR(W51))/7,)*7-5</f>
        <v>#VALUE!</v>
      </c>
      <c r="X61" s="25" t="e">
        <f t="shared" si="80"/>
        <v>#VALUE!</v>
      </c>
      <c r="Y61" s="285" t="e">
        <f t="shared" si="80"/>
        <v>#VALUE!</v>
      </c>
      <c r="Z61" s="169" t="e">
        <f t="shared" si="80"/>
        <v>#VALUE!</v>
      </c>
      <c r="AA61" s="63" t="e">
        <f t="shared" si="80"/>
        <v>#VALUE!</v>
      </c>
      <c r="AB61" s="296" t="e">
        <f t="shared" si="80"/>
        <v>#VALUE!</v>
      </c>
      <c r="AC61" s="294" t="e">
        <f t="shared" si="80"/>
        <v>#VALUE!</v>
      </c>
      <c r="AD61" s="63" t="e">
        <f t="shared" si="80"/>
        <v>#VALUE!</v>
      </c>
      <c r="AE61" s="296" t="e">
        <f t="shared" si="80"/>
        <v>#VALUE!</v>
      </c>
      <c r="AF61" s="294" t="e">
        <f t="shared" ref="AF61:AH61" ca="1" si="81">DOLLAR((DAY(MINUTE(YEAR(AF51)/38)/2+55)&amp;"/4/"&amp;YEAR(AF51))/7,)*7-5</f>
        <v>#VALUE!</v>
      </c>
      <c r="AG61" s="63" t="e">
        <f t="shared" ca="1" si="81"/>
        <v>#VALUE!</v>
      </c>
      <c r="AH61" s="296" t="e">
        <f t="shared" ca="1" si="81"/>
        <v>#VALUE!</v>
      </c>
    </row>
    <row r="62" spans="1:102" ht="13.5" customHeight="1">
      <c r="A62" s="398"/>
      <c r="B62" s="399"/>
      <c r="C62" s="74"/>
      <c r="D62" s="190" t="str">
        <f t="shared" si="60"/>
        <v/>
      </c>
      <c r="E62" s="191" t="str">
        <f>IF(C62&lt;&gt;"",CK6+CK22,"")</f>
        <v/>
      </c>
      <c r="F62" s="138"/>
      <c r="G62" s="75" t="str">
        <f ca="1">IF(AND(A62&lt;&gt;"",C62&lt;&gt;""),IF(AND(F62="",TODAY()&gt;E62-Demande!B$83),"Avis non reçu",IF(F62&gt;E62,"Réputé favorable","")),"")</f>
        <v/>
      </c>
      <c r="V62" s="19" t="s">
        <v>49</v>
      </c>
      <c r="W62" s="203" t="e">
        <f t="shared" ref="W62:AE62" si="82">DOLLAR((DAY(MINUTE(YEAR(W51)/38)/2+55)&amp;"/4/"&amp;YEAR(W51))/7,)*7+33</f>
        <v>#VALUE!</v>
      </c>
      <c r="X62" s="25" t="e">
        <f t="shared" si="82"/>
        <v>#VALUE!</v>
      </c>
      <c r="Y62" s="285" t="e">
        <f t="shared" si="82"/>
        <v>#VALUE!</v>
      </c>
      <c r="Z62" s="169" t="e">
        <f t="shared" si="82"/>
        <v>#VALUE!</v>
      </c>
      <c r="AA62" s="63" t="e">
        <f t="shared" si="82"/>
        <v>#VALUE!</v>
      </c>
      <c r="AB62" s="296" t="e">
        <f t="shared" si="82"/>
        <v>#VALUE!</v>
      </c>
      <c r="AC62" s="294" t="e">
        <f t="shared" si="82"/>
        <v>#VALUE!</v>
      </c>
      <c r="AD62" s="63" t="e">
        <f t="shared" si="82"/>
        <v>#VALUE!</v>
      </c>
      <c r="AE62" s="296" t="e">
        <f t="shared" si="82"/>
        <v>#VALUE!</v>
      </c>
      <c r="AF62" s="294" t="e">
        <f t="shared" ref="AF62:AH62" ca="1" si="83">DOLLAR((DAY(MINUTE(YEAR(AF51)/38)/2+55)&amp;"/4/"&amp;YEAR(AF51))/7,)*7+33</f>
        <v>#VALUE!</v>
      </c>
      <c r="AG62" s="63" t="e">
        <f t="shared" ca="1" si="83"/>
        <v>#VALUE!</v>
      </c>
      <c r="AH62" s="296" t="e">
        <f t="shared" ca="1" si="83"/>
        <v>#VALUE!</v>
      </c>
    </row>
    <row r="63" spans="1:102" ht="13.5" customHeight="1">
      <c r="A63" s="398"/>
      <c r="B63" s="399"/>
      <c r="C63" s="74"/>
      <c r="D63" s="190" t="str">
        <f t="shared" si="60"/>
        <v/>
      </c>
      <c r="E63" s="191" t="str">
        <f>IF(C63&lt;&gt;"",CN6+CN22,"")</f>
        <v/>
      </c>
      <c r="F63" s="138"/>
      <c r="G63" s="75" t="str">
        <f ca="1">IF(AND(A63&lt;&gt;"",C63&lt;&gt;""),IF(AND(F63="",TODAY()&gt;E63-Demande!B$83),"Avis non reçu",IF(F63&gt;E63,"Réputé favorable","")),"")</f>
        <v/>
      </c>
      <c r="V63" s="19" t="s">
        <v>53</v>
      </c>
      <c r="W63" s="203" t="e">
        <f t="shared" ref="W63:AE63" si="84">DOLLAR((DAY(MINUTE(YEAR(W51)/38)/2+55)&amp;"/4/"&amp;YEAR(W51))/7,)*7+44</f>
        <v>#VALUE!</v>
      </c>
      <c r="X63" s="25" t="e">
        <f t="shared" si="84"/>
        <v>#VALUE!</v>
      </c>
      <c r="Y63" s="285" t="e">
        <f t="shared" si="84"/>
        <v>#VALUE!</v>
      </c>
      <c r="Z63" s="169" t="e">
        <f t="shared" si="84"/>
        <v>#VALUE!</v>
      </c>
      <c r="AA63" s="63" t="e">
        <f t="shared" si="84"/>
        <v>#VALUE!</v>
      </c>
      <c r="AB63" s="296" t="e">
        <f t="shared" si="84"/>
        <v>#VALUE!</v>
      </c>
      <c r="AC63" s="294" t="e">
        <f t="shared" si="84"/>
        <v>#VALUE!</v>
      </c>
      <c r="AD63" s="63" t="e">
        <f t="shared" si="84"/>
        <v>#VALUE!</v>
      </c>
      <c r="AE63" s="296" t="e">
        <f t="shared" si="84"/>
        <v>#VALUE!</v>
      </c>
      <c r="AF63" s="294" t="e">
        <f t="shared" ref="AF63:AH63" ca="1" si="85">DOLLAR((DAY(MINUTE(YEAR(AF51)/38)/2+55)&amp;"/4/"&amp;YEAR(AF51))/7,)*7+44</f>
        <v>#VALUE!</v>
      </c>
      <c r="AG63" s="63" t="e">
        <f t="shared" ca="1" si="85"/>
        <v>#VALUE!</v>
      </c>
      <c r="AH63" s="296" t="e">
        <f t="shared" ca="1" si="85"/>
        <v>#VALUE!</v>
      </c>
    </row>
    <row r="64" spans="1:102" ht="13.5" customHeight="1">
      <c r="A64" s="398"/>
      <c r="B64" s="399"/>
      <c r="C64" s="74"/>
      <c r="D64" s="190" t="str">
        <f t="shared" si="60"/>
        <v/>
      </c>
      <c r="E64" s="191" t="str">
        <f>IF(C64&lt;&gt;"",CQ6+CQ22,"")</f>
        <v/>
      </c>
      <c r="F64" s="138"/>
      <c r="G64" s="75" t="str">
        <f ca="1">IF(AND(A64&lt;&gt;"",C64&lt;&gt;""),IF(AND(F64="",TODAY()&gt;E64-Demande!B$83),"Avis non reçu",IF(F64&gt;E64,"Réputé favorable","")),"")</f>
        <v/>
      </c>
      <c r="V64" s="304" t="s">
        <v>35</v>
      </c>
      <c r="W64" s="212" t="e">
        <f t="shared" ref="W64:AE64" si="86">IF(W51&lt;&gt;W61,IF(W51&lt;&gt;W62,IF(W51&lt;&gt;W63,0,1),1),1)</f>
        <v>#VALUE!</v>
      </c>
      <c r="X64" s="70" t="e">
        <f t="shared" si="86"/>
        <v>#VALUE!</v>
      </c>
      <c r="Y64" s="278" t="e">
        <f t="shared" si="86"/>
        <v>#VALUE!</v>
      </c>
      <c r="Z64" s="171" t="e">
        <f t="shared" si="86"/>
        <v>#VALUE!</v>
      </c>
      <c r="AA64" s="70" t="e">
        <f t="shared" si="86"/>
        <v>#VALUE!</v>
      </c>
      <c r="AB64" s="278" t="e">
        <f t="shared" si="86"/>
        <v>#VALUE!</v>
      </c>
      <c r="AC64" s="212" t="e">
        <f t="shared" si="86"/>
        <v>#VALUE!</v>
      </c>
      <c r="AD64" s="70" t="e">
        <f t="shared" si="86"/>
        <v>#VALUE!</v>
      </c>
      <c r="AE64" s="278" t="e">
        <f t="shared" si="86"/>
        <v>#VALUE!</v>
      </c>
      <c r="AF64" s="212" t="e">
        <f t="shared" ref="AF64:AH64" ca="1" si="87">IF(AF51&lt;&gt;AF61,IF(AF51&lt;&gt;AF62,IF(AF51&lt;&gt;AF63,0,1),1),1)</f>
        <v>#VALUE!</v>
      </c>
      <c r="AG64" s="70" t="e">
        <f t="shared" ca="1" si="87"/>
        <v>#VALUE!</v>
      </c>
      <c r="AH64" s="278" t="e">
        <f t="shared" ca="1" si="87"/>
        <v>#VALUE!</v>
      </c>
    </row>
    <row r="65" spans="1:34" ht="13.5" customHeight="1">
      <c r="A65" s="398"/>
      <c r="B65" s="399"/>
      <c r="C65" s="74"/>
      <c r="D65" s="190" t="str">
        <f t="shared" si="60"/>
        <v/>
      </c>
      <c r="E65" s="191" t="str">
        <f>IF(C65&lt;&gt;"",CT6+CT22,"")</f>
        <v/>
      </c>
      <c r="F65" s="138"/>
      <c r="G65" s="75" t="str">
        <f ca="1">IF(AND(A65&lt;&gt;"",C65&lt;&gt;""),IF(AND(F65="",TODAY()&gt;E65-Demande!B$83),"Avis non reçu",IF(F65&gt;E65,"Réputé favorable","")),"")</f>
        <v/>
      </c>
      <c r="V65" s="304" t="s">
        <v>57</v>
      </c>
      <c r="W65" s="185" t="e">
        <f t="shared" ref="W65:AE65" si="88">IF(OR(W60=1,W64=1),1,0)</f>
        <v>#VALUE!</v>
      </c>
      <c r="X65" s="58" t="e">
        <f t="shared" si="88"/>
        <v>#VALUE!</v>
      </c>
      <c r="Y65" s="286" t="e">
        <f t="shared" si="88"/>
        <v>#VALUE!</v>
      </c>
      <c r="Z65" s="172" t="e">
        <f t="shared" si="88"/>
        <v>#VALUE!</v>
      </c>
      <c r="AA65" s="58" t="e">
        <f t="shared" si="88"/>
        <v>#VALUE!</v>
      </c>
      <c r="AB65" s="286" t="e">
        <f t="shared" si="88"/>
        <v>#VALUE!</v>
      </c>
      <c r="AC65" s="185" t="e">
        <f t="shared" si="88"/>
        <v>#VALUE!</v>
      </c>
      <c r="AD65" s="58" t="e">
        <f t="shared" si="88"/>
        <v>#VALUE!</v>
      </c>
      <c r="AE65" s="286" t="e">
        <f t="shared" si="88"/>
        <v>#VALUE!</v>
      </c>
      <c r="AF65" s="185" t="e">
        <f t="shared" ref="AF65:AH65" ca="1" si="89">IF(OR(AF60=1,AF64=1),1,0)</f>
        <v>#VALUE!</v>
      </c>
      <c r="AG65" s="58" t="e">
        <f t="shared" ca="1" si="89"/>
        <v>#VALUE!</v>
      </c>
      <c r="AH65" s="286" t="e">
        <f t="shared" ca="1" si="89"/>
        <v>#VALUE!</v>
      </c>
    </row>
    <row r="66" spans="1:34" ht="13.5" customHeight="1">
      <c r="A66" s="398"/>
      <c r="B66" s="399"/>
      <c r="C66" s="74"/>
      <c r="D66" s="190" t="str">
        <f t="shared" si="60"/>
        <v/>
      </c>
      <c r="E66" s="191" t="str">
        <f>IF(C66&lt;&gt;"",CW6+CW22,"")</f>
        <v/>
      </c>
      <c r="F66" s="138"/>
      <c r="G66" s="75" t="str">
        <f ca="1">IF(AND(A66&lt;&gt;"",C66&lt;&gt;""),IF(AND(F66="",TODAY()&gt;E66-Demande!B$83),"Avis non reçu",IF(F66&gt;E66,"Réputé favorable","")),"")</f>
        <v/>
      </c>
      <c r="V66" s="19"/>
      <c r="W66" s="287"/>
      <c r="X66" s="64"/>
      <c r="Y66" s="189"/>
      <c r="Z66" s="170"/>
      <c r="AA66" s="64"/>
      <c r="AB66" s="189"/>
      <c r="AC66" s="287"/>
      <c r="AD66" s="64"/>
      <c r="AE66" s="189"/>
      <c r="AF66" s="287"/>
      <c r="AG66" s="343"/>
      <c r="AH66" s="189"/>
    </row>
    <row r="67" spans="1:34" ht="13.5" customHeight="1">
      <c r="A67" s="398"/>
      <c r="B67" s="399"/>
      <c r="C67" s="74"/>
      <c r="D67" s="190" t="str">
        <f t="shared" si="60"/>
        <v/>
      </c>
      <c r="E67" s="191" t="str">
        <f>IF(C67&lt;&gt;"",CZ6+CZ22,"")</f>
        <v/>
      </c>
      <c r="F67" s="138"/>
      <c r="G67" s="75" t="str">
        <f ca="1">IF(AND(A67&lt;&gt;"",C67&lt;&gt;""),IF(AND(F67="",TODAY()&gt;E67-Demande!B$83),"Avis non reçu",IF(F67&gt;E67,"Réputé favorable","")),"")</f>
        <v/>
      </c>
      <c r="V67" s="19" t="s">
        <v>63</v>
      </c>
      <c r="W67" s="288" t="e">
        <f>IF(AND(W52&lt;&gt;"samedi",W52&lt;&gt;"dimanche"),IF(AND(W65=1,W52="vendredi"),3,IF(AND(W65=1,W52="samedi"),2,IF(W65=1,1,0))),IF(AND(W52="samedi",Y65=1),3,IF(W52="samedi",2,IF(AND(W52="dimanche",X65=1),2,1))))</f>
        <v>#VALUE!</v>
      </c>
      <c r="X67" s="64"/>
      <c r="Y67" s="189"/>
      <c r="Z67" s="173" t="e">
        <f>IF(AND(Z52&lt;&gt;"samedi",Z52&lt;&gt;"dimanche"),IF(AND(Z65=1,Z52="vendredi"),3,IF(AND(Z65=1,Z52="samedi"),2,IF(Z65=1,1,0))),IF(AND(Z52="samedi",AB65=1),3,IF(Z52="samedi",2,IF(AND(Z52="dimanche",AA65=1),2,1))))</f>
        <v>#VALUE!</v>
      </c>
      <c r="AA67" s="1"/>
      <c r="AB67" s="297"/>
      <c r="AC67" s="288">
        <f>IF(AND(AC52&lt;&gt;"samedi",AC52&lt;&gt;"dimanche"),IF(AND(J167=1,AC52="vendredi"),3,IF(AND(J167=1,AC52="samedi"),2,IF(J167=1,1,0))),IF(AND(AC52="samedi",AE65=1),3,IF(AC52="samedi",2,IF(AND(AC52="dimanche",AD65=1),2,1))))</f>
        <v>0</v>
      </c>
      <c r="AD67" s="1"/>
      <c r="AE67" s="297"/>
      <c r="AF67" s="288">
        <f ca="1">IF(AND(AF52&lt;&gt;"samedi",AF52&lt;&gt;"dimanche"),IF(AND(M167=1,AF52="vendredi"),3,IF(AND(M167=1,AF52="samedi"),2,IF(M167=1,1,0))),IF(AND(AF52="samedi",AH65=1),3,IF(AF52="samedi",2,IF(AND(AF52="dimanche",AG65=1),2,1))))</f>
        <v>0</v>
      </c>
      <c r="AG67" s="342"/>
      <c r="AH67" s="297"/>
    </row>
    <row r="68" spans="1:34" ht="13.5" customHeight="1">
      <c r="A68" s="308"/>
      <c r="B68" s="309"/>
    </row>
    <row r="69" spans="1:34" ht="13.5" customHeight="1">
      <c r="A69" s="310"/>
      <c r="B69" s="311"/>
      <c r="W69" s="181" t="s">
        <v>81</v>
      </c>
      <c r="X69" s="82" t="e">
        <f>W51+W67</f>
        <v>#VALUE!</v>
      </c>
      <c r="Y69" s="193" t="e">
        <f>(TEXT(X69,"jjjj"))</f>
        <v>#VALUE!</v>
      </c>
      <c r="Z69" s="181" t="s">
        <v>81</v>
      </c>
      <c r="AA69" s="82" t="e">
        <f>Z51+Z67</f>
        <v>#VALUE!</v>
      </c>
      <c r="AB69" s="193" t="e">
        <f>(TEXT(AA69,"jjjj"))</f>
        <v>#VALUE!</v>
      </c>
      <c r="AC69" s="181" t="s">
        <v>81</v>
      </c>
      <c r="AD69" s="82" t="e">
        <f>AC51+AC67</f>
        <v>#VALUE!</v>
      </c>
      <c r="AE69" s="193" t="e">
        <f>(TEXT(AD69,"jjjj"))</f>
        <v>#VALUE!</v>
      </c>
    </row>
    <row r="70" spans="1:34" ht="13.5" customHeight="1">
      <c r="A70" s="310"/>
      <c r="B70" s="311"/>
      <c r="T70" s="64"/>
      <c r="W70" s="182" t="s">
        <v>24</v>
      </c>
      <c r="X70" s="22" t="s">
        <v>84</v>
      </c>
      <c r="Y70" s="284" t="s">
        <v>85</v>
      </c>
      <c r="Z70" s="182" t="s">
        <v>24</v>
      </c>
      <c r="AA70" s="22" t="s">
        <v>84</v>
      </c>
      <c r="AB70" s="284" t="s">
        <v>85</v>
      </c>
      <c r="AC70" s="182" t="s">
        <v>24</v>
      </c>
      <c r="AD70" s="22" t="s">
        <v>84</v>
      </c>
      <c r="AE70" s="22" t="s">
        <v>85</v>
      </c>
    </row>
    <row r="71" spans="1:34" ht="13.5" customHeight="1">
      <c r="A71" s="310"/>
      <c r="B71" s="311"/>
      <c r="T71" s="64"/>
      <c r="V71" s="158">
        <v>39084</v>
      </c>
      <c r="W71" s="89" t="e">
        <f>DATE(YEAR(X69),1,2)</f>
        <v>#VALUE!</v>
      </c>
      <c r="X71" s="82" t="e">
        <f>DATE(YEAR(X69-1),1,2)</f>
        <v>#VALUE!</v>
      </c>
      <c r="Y71" s="90" t="e">
        <f>DATE(YEAR(X69-2),1,2)</f>
        <v>#VALUE!</v>
      </c>
      <c r="Z71" s="89" t="e">
        <f>DATE(YEAR(AA69),1,2)</f>
        <v>#VALUE!</v>
      </c>
      <c r="AA71" s="82" t="e">
        <f>DATE(YEAR(AA69-1),1,2)</f>
        <v>#VALUE!</v>
      </c>
      <c r="AB71" s="90" t="e">
        <f>DATE(YEAR(AA69-2),1,2)</f>
        <v>#VALUE!</v>
      </c>
      <c r="AC71" s="89" t="e">
        <f>DATE(YEAR(AD69),1,2)</f>
        <v>#VALUE!</v>
      </c>
      <c r="AD71" s="82" t="e">
        <f>DATE(YEAR(AD69-1),1,2)</f>
        <v>#VALUE!</v>
      </c>
      <c r="AE71" s="90" t="e">
        <f>DATE(YEAR(AD69-2),1,2)</f>
        <v>#VALUE!</v>
      </c>
    </row>
    <row r="72" spans="1:34" ht="13.5" customHeight="1">
      <c r="A72" s="310"/>
      <c r="B72" s="311"/>
      <c r="T72" s="64"/>
      <c r="V72" s="158">
        <v>38257</v>
      </c>
      <c r="W72" s="89" t="e">
        <f>DATE(YEAR(X69),9,27)</f>
        <v>#VALUE!</v>
      </c>
      <c r="X72" s="82" t="e">
        <f>DATE(YEAR(X69-1),9,27)</f>
        <v>#VALUE!</v>
      </c>
      <c r="Y72" s="90" t="e">
        <f>DATE(YEAR(X69-2),9,27)</f>
        <v>#VALUE!</v>
      </c>
      <c r="Z72" s="89" t="e">
        <f>DATE(YEAR(AA69),9,27)</f>
        <v>#VALUE!</v>
      </c>
      <c r="AA72" s="82" t="e">
        <f>DATE(YEAR(AA69-1),9,27)</f>
        <v>#VALUE!</v>
      </c>
      <c r="AB72" s="90" t="e">
        <f>DATE(YEAR(AA69-2),9,27)</f>
        <v>#VALUE!</v>
      </c>
      <c r="AC72" s="89" t="e">
        <f>DATE(YEAR(AD69),9,27)</f>
        <v>#VALUE!</v>
      </c>
      <c r="AD72" s="82" t="e">
        <f>DATE(YEAR(AD69-1),9,27)</f>
        <v>#VALUE!</v>
      </c>
      <c r="AE72" s="90" t="e">
        <f>DATE(YEAR(AD69-2),9,27)</f>
        <v>#VALUE!</v>
      </c>
    </row>
    <row r="73" spans="1:34" ht="12.75" customHeight="1">
      <c r="A73" s="310"/>
      <c r="B73" s="311"/>
      <c r="V73" s="158">
        <v>38293</v>
      </c>
      <c r="W73" s="89" t="e">
        <f>DATE(YEAR(X69),11,2)</f>
        <v>#VALUE!</v>
      </c>
      <c r="X73" s="82" t="e">
        <f>DATE(YEAR(X69-1),11,2)</f>
        <v>#VALUE!</v>
      </c>
      <c r="Y73" s="90" t="e">
        <f>DATE(YEAR(X69-2),11,2)</f>
        <v>#VALUE!</v>
      </c>
      <c r="Z73" s="89" t="e">
        <f>DATE(YEAR(AA69),11,2)</f>
        <v>#VALUE!</v>
      </c>
      <c r="AA73" s="82" t="e">
        <f>DATE(YEAR(AA69-1),11,2)</f>
        <v>#VALUE!</v>
      </c>
      <c r="AB73" s="90" t="e">
        <f>DATE(YEAR(AA69-2),11,2)</f>
        <v>#VALUE!</v>
      </c>
      <c r="AC73" s="89" t="e">
        <f>DATE(YEAR(AD69),11,2)</f>
        <v>#VALUE!</v>
      </c>
      <c r="AD73" s="82" t="e">
        <f>DATE(YEAR(AD69-1),11,2)</f>
        <v>#VALUE!</v>
      </c>
      <c r="AE73" s="90" t="e">
        <f>DATE(YEAR(AD69-2),11,2)</f>
        <v>#VALUE!</v>
      </c>
    </row>
    <row r="74" spans="1:34" ht="12.75" customHeight="1">
      <c r="A74" s="310"/>
      <c r="B74" s="311"/>
      <c r="V74" s="158">
        <v>38306</v>
      </c>
      <c r="W74" s="89" t="e">
        <f>DATE(YEAR(X69),11,15)</f>
        <v>#VALUE!</v>
      </c>
      <c r="X74" s="82" t="e">
        <f>DATE(YEAR(X69-1),11,15)</f>
        <v>#VALUE!</v>
      </c>
      <c r="Y74" s="90" t="e">
        <f>DATE(YEAR(X69-2),11,15)</f>
        <v>#VALUE!</v>
      </c>
      <c r="Z74" s="89" t="e">
        <f>DATE(YEAR(AA69),11,15)</f>
        <v>#VALUE!</v>
      </c>
      <c r="AA74" s="82" t="e">
        <f>DATE(YEAR(AA69-1),11,15)</f>
        <v>#VALUE!</v>
      </c>
      <c r="AB74" s="90" t="e">
        <f>DATE(YEAR(AA69-2),11,15)</f>
        <v>#VALUE!</v>
      </c>
      <c r="AC74" s="89" t="e">
        <f>DATE(YEAR(AD69),11,15)</f>
        <v>#VALUE!</v>
      </c>
      <c r="AD74" s="82" t="e">
        <f>DATE(YEAR(AD69-1),11,15)</f>
        <v>#VALUE!</v>
      </c>
      <c r="AE74" s="90" t="e">
        <f>DATE(YEAR(AD69-2),11,15)</f>
        <v>#VALUE!</v>
      </c>
    </row>
    <row r="75" spans="1:34" ht="12.75" customHeight="1">
      <c r="A75" s="310"/>
      <c r="B75" s="311"/>
      <c r="V75" s="158">
        <v>38347</v>
      </c>
      <c r="W75" s="89" t="e">
        <f>DATE(YEAR(X69),12,26)</f>
        <v>#VALUE!</v>
      </c>
      <c r="X75" s="82" t="e">
        <f>DATE(YEAR(X69-1),12,26)</f>
        <v>#VALUE!</v>
      </c>
      <c r="Y75" s="90" t="e">
        <f>DATE(YEAR(X69-2),12,26)</f>
        <v>#VALUE!</v>
      </c>
      <c r="Z75" s="89" t="e">
        <f>DATE(YEAR(AA69),12,26)</f>
        <v>#VALUE!</v>
      </c>
      <c r="AA75" s="82" t="e">
        <f>DATE(YEAR(AA69-1),12,26)</f>
        <v>#VALUE!</v>
      </c>
      <c r="AB75" s="90" t="e">
        <f>DATE(YEAR(AA69-2),12,26)</f>
        <v>#VALUE!</v>
      </c>
      <c r="AC75" s="89" t="e">
        <f>DATE(YEAR(AD69),12,26)</f>
        <v>#VALUE!</v>
      </c>
      <c r="AD75" s="82" t="e">
        <f>DATE(YEAR(AD69-1),12,26)</f>
        <v>#VALUE!</v>
      </c>
      <c r="AE75" s="90" t="e">
        <f>DATE(YEAR(AD69-2),12,26)</f>
        <v>#VALUE!</v>
      </c>
    </row>
    <row r="76" spans="1:34" ht="12.75" customHeight="1">
      <c r="A76" s="310"/>
      <c r="B76" s="311"/>
      <c r="W76" s="92" t="e">
        <f>IF(X69&lt;&gt;W71,IF(X69&lt;&gt;W72,IF(X69&lt;&gt;W73,IF(X69&lt;&gt;W74,IF(X69&lt;&gt;W75,0,1),1),1),1),1)</f>
        <v>#VALUE!</v>
      </c>
      <c r="X76" s="93" t="e">
        <f>IF(X69-1&lt;&gt;X71,IF(X69-1&lt;&gt;X72,IF(X69-1&lt;&gt;X73,IF(X69-1&lt;&gt;X74,IF(X69-1&lt;&gt;X75,0,1),1),1),1),1)</f>
        <v>#VALUE!</v>
      </c>
      <c r="Y76" s="94" t="e">
        <f>IF(X69-2&lt;&gt;Y71,IF(X69-2&lt;&gt;Y72,IF(X69-2&lt;&gt;Y73,IF(X69-2&lt;&gt;Y74,IF(X69-2&lt;&gt;Y75,0,1),1),1),1),1)</f>
        <v>#VALUE!</v>
      </c>
      <c r="Z76" s="92" t="e">
        <f>IF(AA69&lt;&gt;Z71,IF(AA69&lt;&gt;Z72,IF(AA69&lt;&gt;Z73,IF(AA69&lt;&gt;Z74,IF(AA69&lt;&gt;Z75,0,1),1),1),1),1)</f>
        <v>#VALUE!</v>
      </c>
      <c r="AA76" s="93" t="e">
        <f>IF(AA69-1&lt;&gt;AA71,IF(AA69-1&lt;&gt;AA72,IF(AA69-1&lt;&gt;AA73,IF(AA69-1&lt;&gt;AA74,IF(AA69-1&lt;&gt;AA75,0,1),1),1),1),1)</f>
        <v>#VALUE!</v>
      </c>
      <c r="AB76" s="94" t="e">
        <f>IF(AA69-2&lt;&gt;AB71,IF(AA69-2&lt;&gt;AB72,IF(AA69-2&lt;&gt;AB73,IF(AA69-2&lt;&gt;AB74,IF(AA69-2&lt;&gt;AB75,0,1),1),1),1),1)</f>
        <v>#VALUE!</v>
      </c>
      <c r="AC76" s="92" t="e">
        <f>IF(AD69&lt;&gt;AC71,IF(AD69&lt;&gt;AC72,IF(AD69&lt;&gt;AC73,IF(AD69&lt;&gt;AC74,IF(AD69&lt;&gt;AC75,0,1),1),1),1),1)</f>
        <v>#VALUE!</v>
      </c>
      <c r="AD76" s="93" t="e">
        <f>IF(AD69-1&lt;&gt;AD71,IF(AD69-1&lt;&gt;AD72,IF(AD69-1&lt;&gt;AD73,IF(AD69-1&lt;&gt;AD74,IF(AD69-1&lt;&gt;AD75,0,1),1),1),1),1)</f>
        <v>#VALUE!</v>
      </c>
      <c r="AE76" s="94" t="e">
        <f>IF(AD69-2&lt;&gt;AE71,IF(AD69-2&lt;&gt;AE72,IF(AD69-2&lt;&gt;AE73,IF(AD69-2&lt;&gt;AE74,IF(AD69-2&lt;&gt;AE75,0,1),1),1),1),1)</f>
        <v>#VALUE!</v>
      </c>
    </row>
    <row r="77" spans="1:34" ht="12.75" customHeight="1">
      <c r="A77" s="310"/>
      <c r="B77" s="311"/>
      <c r="V77" s="159" t="s">
        <v>63</v>
      </c>
      <c r="W77" s="302" t="e">
        <f>IF(AND(Y69&lt;&gt;"samedi",Y69&lt;&gt;"dimanche"),IF(AND(W76=1,Y69="lundi"),3,IF(W76=1,1,0)),IF(AND(Y69="samedi",X76=1),2,IF(Y69="samedi",1,IF(AND(Y69="dimanche",Y76=1),3,2))))</f>
        <v>#VALUE!</v>
      </c>
      <c r="X77" s="82" t="e">
        <f>X69-IF(W84=1,X84,IF(W82=1,X82,W77))</f>
        <v>#VALUE!</v>
      </c>
      <c r="Y77" s="303"/>
      <c r="Z77" s="302" t="e">
        <f>IF(AND(AB69&lt;&gt;"samedi",AB69&lt;&gt;"dimanche"),IF(AND(Z76=1,AB69="lundi"),3,IF(Z76=1,1,0)),IF(AND(AB69="samedi",AA76=1),2,IF(AB69="samedi",1,IF(AND(AB69="dimanche",AB76=1),3,2))))</f>
        <v>#VALUE!</v>
      </c>
      <c r="AA77" s="82" t="e">
        <f>AA69-IF(Z84=1,AA84,IF(Z82=1,AA82,Z77))</f>
        <v>#VALUE!</v>
      </c>
      <c r="AB77" s="112"/>
      <c r="AC77" s="101" t="e">
        <f>IF(AND(AE69&lt;&gt;"samedi",AE69&lt;&gt;"dimanche"),IF(AND(AC76=1,AE69="lundi"),3,IF(AC76=1,1,0)),IF(AND(AE69="samedi",AD76=1),2,IF(AE69="samedi",1,IF(AND(AE69="dimanche",AE76=1),3,2))))</f>
        <v>#VALUE!</v>
      </c>
      <c r="AD77" s="82" t="e">
        <f>AD69-IF(AC84=1,AD84,IF(AC82=1,AD82,AC77))</f>
        <v>#VALUE!</v>
      </c>
      <c r="AE77" s="112"/>
    </row>
    <row r="78" spans="1:34" ht="12.75" customHeight="1">
      <c r="A78" s="310"/>
      <c r="B78" s="311"/>
      <c r="W78" s="110"/>
      <c r="X78" s="110"/>
      <c r="Y78" s="110"/>
      <c r="Z78" s="110"/>
      <c r="AA78" s="110"/>
      <c r="AB78" s="110"/>
      <c r="AC78" s="110"/>
      <c r="AD78" s="110"/>
      <c r="AE78" s="110"/>
    </row>
    <row r="79" spans="1:34" ht="12.75" customHeight="1">
      <c r="A79" s="310"/>
      <c r="B79" s="311"/>
      <c r="V79" s="158">
        <v>38354</v>
      </c>
      <c r="W79" s="118" t="e">
        <f>DATE(YEAR(X69),1,2)</f>
        <v>#VALUE!</v>
      </c>
      <c r="Z79" s="118" t="e">
        <f>DATE(YEAR(AA69),1,2)</f>
        <v>#VALUE!</v>
      </c>
      <c r="AC79" s="118" t="e">
        <f>DATE(YEAR(AD69),1,2)</f>
        <v>#VALUE!</v>
      </c>
    </row>
    <row r="80" spans="1:34" ht="12.75" customHeight="1">
      <c r="V80" s="158">
        <v>38293</v>
      </c>
      <c r="W80" s="118" t="e">
        <f>DATE(YEAR(X69),11,2)</f>
        <v>#VALUE!</v>
      </c>
      <c r="X80" s="110"/>
      <c r="Y80" s="117"/>
      <c r="Z80" s="118" t="e">
        <f>DATE(YEAR(AA69),11,2)</f>
        <v>#VALUE!</v>
      </c>
      <c r="AA80" s="110"/>
      <c r="AB80" s="117"/>
      <c r="AC80" s="118" t="e">
        <f>DATE(YEAR(AD69),11,2)</f>
        <v>#VALUE!</v>
      </c>
      <c r="AD80" s="110"/>
      <c r="AE80" s="117"/>
    </row>
    <row r="81" spans="22:31" ht="12.75" customHeight="1">
      <c r="V81" s="158">
        <v>38347</v>
      </c>
      <c r="W81" s="118" t="e">
        <f>DATE(YEAR(X69),12,26)</f>
        <v>#VALUE!</v>
      </c>
      <c r="X81" s="110"/>
      <c r="Y81" s="117"/>
      <c r="Z81" s="118" t="e">
        <f>DATE(YEAR(AA69),12,26)</f>
        <v>#VALUE!</v>
      </c>
      <c r="AA81" s="110"/>
      <c r="AB81" s="117"/>
      <c r="AC81" s="118" t="e">
        <f>DATE(YEAR(AD69),12,26)</f>
        <v>#VALUE!</v>
      </c>
      <c r="AD81" s="110"/>
      <c r="AE81" s="117"/>
    </row>
    <row r="82" spans="22:31">
      <c r="V82" s="83"/>
      <c r="W82" s="119" t="e">
        <f>IF(X69&lt;&gt;W79,IF(X69&lt;&gt;W80,IF(X69&lt;&gt;W81,0,1),1),1)</f>
        <v>#VALUE!</v>
      </c>
      <c r="X82" s="101" t="e">
        <f>IF(W82=1,IF(AND(Y69&lt;&gt;"lundi",Y69&lt;&gt;"mardi"),2,IF(Y69="lundi",3,4)),0)</f>
        <v>#VALUE!</v>
      </c>
      <c r="Y82" s="111"/>
      <c r="Z82" s="119" t="e">
        <f>IF(AA69&lt;&gt;Z79,IF(AA69&lt;&gt;Z80,IF(AA69&lt;&gt;Z81,0,1),1),1)</f>
        <v>#VALUE!</v>
      </c>
      <c r="AA82" s="101" t="e">
        <f>IF(Z82=1,IF(AND(AB69&lt;&gt;"lundi",AB69&lt;&gt;"mardi"),2,IF(AB69="lundi",3,4)),0)</f>
        <v>#VALUE!</v>
      </c>
      <c r="AB82" s="111"/>
      <c r="AC82" s="119" t="e">
        <f>IF(AD69&lt;&gt;AC79,IF(AD69&lt;&gt;AC80,IF(AD69&lt;&gt;AC81,0,1),1),1)</f>
        <v>#VALUE!</v>
      </c>
      <c r="AD82" s="101" t="e">
        <f>IF(AC82=1,IF(AND(AE69&lt;&gt;"lundi",AE69&lt;&gt;"mardi"),2,IF(AE69="lundi",3,4)),0)</f>
        <v>#VALUE!</v>
      </c>
      <c r="AE82" s="111"/>
    </row>
    <row r="84" spans="22:31">
      <c r="V84" s="158">
        <v>38354</v>
      </c>
      <c r="W84" s="119" t="e">
        <f>IF(AND(MONTH(X69)=1,Y69="lundi",OR(DAY(X69)=2,DAY(X69)=3,DAY(X69)=4)),1,0)</f>
        <v>#VALUE!</v>
      </c>
      <c r="X84" s="101" t="e">
        <f>IF(AND(W84=1,Y69="lundi"),IF(DAY(X69)=4,4,3),0)</f>
        <v>#VALUE!</v>
      </c>
      <c r="Z84" s="119" t="e">
        <f>IF(AND(MONTH(AA69)=1,AB69="lundi",OR(DAY(AA69)=2,DAY(AA69)=3,DAY(AA69)=4)),1,0)</f>
        <v>#VALUE!</v>
      </c>
      <c r="AA84" s="101" t="e">
        <f>IF(AND(Z84=1,AB69="lundi"),IF(DAY(AA69)=4,4,3),0)</f>
        <v>#VALUE!</v>
      </c>
      <c r="AC84" s="119" t="e">
        <f>IF(AND(MONTH(AD69)=1,AE69="lundi",OR(DAY(AD69)=2,DAY(AD69)=3,DAY(AD69)=4)),1,0)</f>
        <v>#VALUE!</v>
      </c>
      <c r="AD84" s="101" t="e">
        <f>IF(AND(AC84=1,AE69="lundi"),IF(DAY(AD69)=4,4,3),0)</f>
        <v>#VALUE!</v>
      </c>
    </row>
  </sheetData>
  <sheetProtection sheet="1" objects="1" scenarios="1"/>
  <mergeCells count="41">
    <mergeCell ref="A67:B67"/>
    <mergeCell ref="A61:B61"/>
    <mergeCell ref="A62:B62"/>
    <mergeCell ref="A63:B63"/>
    <mergeCell ref="A64:B64"/>
    <mergeCell ref="A58:B58"/>
    <mergeCell ref="A59:B59"/>
    <mergeCell ref="A60:B60"/>
    <mergeCell ref="A65:B65"/>
    <mergeCell ref="A66:B66"/>
    <mergeCell ref="A53:B53"/>
    <mergeCell ref="A54:B54"/>
    <mergeCell ref="A55:B55"/>
    <mergeCell ref="A56:B56"/>
    <mergeCell ref="A57:B57"/>
    <mergeCell ref="A50:B50"/>
    <mergeCell ref="A51:B51"/>
    <mergeCell ref="A52:B52"/>
    <mergeCell ref="A37:B37"/>
    <mergeCell ref="A38:B38"/>
    <mergeCell ref="A39:B39"/>
    <mergeCell ref="A40:B40"/>
    <mergeCell ref="A41:B41"/>
    <mergeCell ref="A42:B42"/>
    <mergeCell ref="A43:B43"/>
    <mergeCell ref="A44:B44"/>
    <mergeCell ref="A49:B49"/>
    <mergeCell ref="A45:B45"/>
    <mergeCell ref="A46:B46"/>
    <mergeCell ref="A47:B47"/>
    <mergeCell ref="A48:B48"/>
    <mergeCell ref="D37:E37"/>
    <mergeCell ref="F19:G19"/>
    <mergeCell ref="D29:F29"/>
    <mergeCell ref="E35:G35"/>
    <mergeCell ref="B6:G6"/>
    <mergeCell ref="B31:C31"/>
    <mergeCell ref="E31:G31"/>
    <mergeCell ref="E34:G34"/>
    <mergeCell ref="B29:C29"/>
    <mergeCell ref="B19:D19"/>
  </mergeCells>
  <conditionalFormatting sqref="G13">
    <cfRule type="expression" dxfId="76" priority="9" stopIfTrue="1">
      <formula>F15="Complet !"</formula>
    </cfRule>
  </conditionalFormatting>
  <conditionalFormatting sqref="D22">
    <cfRule type="cellIs" dxfId="75" priority="10" stopIfTrue="1" operator="greaterThan">
      <formula>D21</formula>
    </cfRule>
  </conditionalFormatting>
  <conditionalFormatting sqref="F27">
    <cfRule type="expression" dxfId="74" priority="11" stopIfTrue="1">
      <formula>I4=1</formula>
    </cfRule>
  </conditionalFormatting>
  <conditionalFormatting sqref="E26">
    <cfRule type="expression" dxfId="73" priority="12" stopIfTrue="1">
      <formula>E26&gt;E23</formula>
    </cfRule>
    <cfRule type="expression" dxfId="72" priority="13" stopIfTrue="1">
      <formula>AND(E21&lt;&gt;"",E21&lt;&gt;0)</formula>
    </cfRule>
  </conditionalFormatting>
  <conditionalFormatting sqref="B35:C35">
    <cfRule type="cellIs" dxfId="71" priority="14" stopIfTrue="1" operator="greaterThan">
      <formula>B33</formula>
    </cfRule>
  </conditionalFormatting>
  <conditionalFormatting sqref="A38:A79">
    <cfRule type="expression" dxfId="70" priority="15" stopIfTrue="1">
      <formula>B38=1</formula>
    </cfRule>
  </conditionalFormatting>
  <conditionalFormatting sqref="F38:F45">
    <cfRule type="expression" dxfId="69" priority="16" stopIfTrue="1">
      <formula>A38&lt;&gt;""</formula>
    </cfRule>
  </conditionalFormatting>
  <conditionalFormatting sqref="F46:F67">
    <cfRule type="expression" dxfId="68" priority="17" stopIfTrue="1">
      <formula>A46&lt;&gt;""</formula>
    </cfRule>
  </conditionalFormatting>
  <conditionalFormatting sqref="F15">
    <cfRule type="cellIs" dxfId="67" priority="18" stopIfTrue="1" operator="equal">
      <formula>"Complet !"</formula>
    </cfRule>
  </conditionalFormatting>
  <conditionalFormatting sqref="E13">
    <cfRule type="cellIs" dxfId="66" priority="19" stopIfTrue="1" operator="greaterThan">
      <formula>$E$12</formula>
    </cfRule>
  </conditionalFormatting>
  <conditionalFormatting sqref="G18 F28:G29">
    <cfRule type="expression" dxfId="65" priority="20" stopIfTrue="1">
      <formula>F18&lt;&gt;""</formula>
    </cfRule>
  </conditionalFormatting>
  <conditionalFormatting sqref="E34:G34">
    <cfRule type="cellIs" dxfId="64" priority="21" stopIfTrue="1" operator="equal">
      <formula>""</formula>
    </cfRule>
  </conditionalFormatting>
  <conditionalFormatting sqref="E35:G35">
    <cfRule type="cellIs" dxfId="63" priority="22" stopIfTrue="1" operator="notEqual">
      <formula>""</formula>
    </cfRule>
    <cfRule type="cellIs" dxfId="62" priority="23" stopIfTrue="1" operator="equal">
      <formula>""</formula>
    </cfRule>
  </conditionalFormatting>
  <conditionalFormatting sqref="E23">
    <cfRule type="cellIs" dxfId="61" priority="24" stopIfTrue="1" operator="notEqual">
      <formula>""</formula>
    </cfRule>
  </conditionalFormatting>
  <conditionalFormatting sqref="D27">
    <cfRule type="cellIs" dxfId="60" priority="25" stopIfTrue="1" operator="equal">
      <formula>""</formula>
    </cfRule>
  </conditionalFormatting>
  <conditionalFormatting sqref="G38:G67">
    <cfRule type="cellIs" dxfId="59" priority="26" stopIfTrue="1" operator="equal">
      <formula>"Réputé favorable"</formula>
    </cfRule>
    <cfRule type="expression" dxfId="58" priority="27" stopIfTrue="1">
      <formula>AND(G38="Avis non reçu",TODAY()&gt;E38)</formula>
    </cfRule>
    <cfRule type="cellIs" dxfId="57" priority="28" stopIfTrue="1" operator="equal">
      <formula>"Avis non reçu"</formula>
    </cfRule>
  </conditionalFormatting>
  <conditionalFormatting sqref="D38:D67">
    <cfRule type="expression" dxfId="56" priority="29" stopIfTrue="1">
      <formula>A38&lt;&gt;""</formula>
    </cfRule>
  </conditionalFormatting>
  <conditionalFormatting sqref="E38:E67">
    <cfRule type="expression" dxfId="55" priority="30" stopIfTrue="1">
      <formula>A38&lt;&gt;""</formula>
    </cfRule>
  </conditionalFormatting>
  <conditionalFormatting sqref="B29:C29">
    <cfRule type="cellIs" dxfId="54" priority="31" stopIfTrue="1" operator="notEqual">
      <formula>""</formula>
    </cfRule>
    <cfRule type="expression" dxfId="53" priority="32" stopIfTrue="1">
      <formula>B28=""</formula>
    </cfRule>
  </conditionalFormatting>
  <conditionalFormatting sqref="G15">
    <cfRule type="cellIs" dxfId="52" priority="33" stopIfTrue="1" operator="greaterThan">
      <formula>$G$14</formula>
    </cfRule>
  </conditionalFormatting>
  <conditionalFormatting sqref="F13">
    <cfRule type="expression" dxfId="51" priority="34" stopIfTrue="1">
      <formula>J4=0</formula>
    </cfRule>
    <cfRule type="expression" dxfId="50" priority="35" stopIfTrue="1">
      <formula>AND(J4=1,F13&gt;E12)</formula>
    </cfRule>
  </conditionalFormatting>
  <conditionalFormatting sqref="C18">
    <cfRule type="expression" dxfId="49" priority="36" stopIfTrue="1">
      <formula>Z165=1</formula>
    </cfRule>
  </conditionalFormatting>
  <conditionalFormatting sqref="C28">
    <cfRule type="expression" dxfId="48" priority="37" stopIfTrue="1">
      <formula>AND(C28&lt;&gt;"",C28&lt;C23)</formula>
    </cfRule>
  </conditionalFormatting>
  <conditionalFormatting sqref="C27">
    <cfRule type="expression" dxfId="47" priority="38" stopIfTrue="1">
      <formula>AND(C27&lt;&gt;"",C27&lt;C23)</formula>
    </cfRule>
  </conditionalFormatting>
  <conditionalFormatting sqref="C38:C67">
    <cfRule type="expression" dxfId="46" priority="39" stopIfTrue="1">
      <formula>AND(A38&lt;&gt;"")</formula>
    </cfRule>
  </conditionalFormatting>
  <conditionalFormatting sqref="G22">
    <cfRule type="expression" dxfId="45" priority="40" stopIfTrue="1">
      <formula>G26&gt;G24</formula>
    </cfRule>
    <cfRule type="expression" dxfId="44" priority="41" stopIfTrue="1">
      <formula>AND(J22=1,G22-G21=1)</formula>
    </cfRule>
  </conditionalFormatting>
  <conditionalFormatting sqref="C24">
    <cfRule type="expression" dxfId="43" priority="42" stopIfTrue="1">
      <formula>MAX(I22,I26)&lt;&gt;0</formula>
    </cfRule>
  </conditionalFormatting>
  <conditionalFormatting sqref="B25">
    <cfRule type="expression" dxfId="42" priority="43" stopIfTrue="1">
      <formula>MAX(I22,I26)&lt;&gt;0</formula>
    </cfRule>
  </conditionalFormatting>
  <conditionalFormatting sqref="C25">
    <cfRule type="expression" dxfId="41" priority="44" stopIfTrue="1">
      <formula>MAX(I22,I26)&lt;&gt;0</formula>
    </cfRule>
  </conditionalFormatting>
  <conditionalFormatting sqref="F26">
    <cfRule type="expression" dxfId="40" priority="45" stopIfTrue="1">
      <formula>F26&gt;I33</formula>
    </cfRule>
    <cfRule type="expression" dxfId="39" priority="46" stopIfTrue="1">
      <formula>I5=2</formula>
    </cfRule>
  </conditionalFormatting>
  <conditionalFormatting sqref="B24">
    <cfRule type="expression" dxfId="38" priority="47" stopIfTrue="1">
      <formula>MAX(I22,I26)&lt;&gt;0</formula>
    </cfRule>
  </conditionalFormatting>
  <conditionalFormatting sqref="E15">
    <cfRule type="expression" dxfId="37" priority="48" stopIfTrue="1">
      <formula>V59=1</formula>
    </cfRule>
  </conditionalFormatting>
  <conditionalFormatting sqref="F24">
    <cfRule type="expression" dxfId="36" priority="49" stopIfTrue="1">
      <formula>W57=1</formula>
    </cfRule>
  </conditionalFormatting>
  <conditionalFormatting sqref="G24">
    <cfRule type="expression" dxfId="35" priority="50" stopIfTrue="1">
      <formula>W58=1</formula>
    </cfRule>
  </conditionalFormatting>
  <conditionalFormatting sqref="B22">
    <cfRule type="expression" dxfId="34" priority="51" stopIfTrue="1">
      <formula>(B27-B28)&lt;5</formula>
    </cfRule>
  </conditionalFormatting>
  <conditionalFormatting sqref="C22">
    <cfRule type="cellIs" dxfId="33" priority="52" stopIfTrue="1" operator="lessThan">
      <formula>C21</formula>
    </cfRule>
  </conditionalFormatting>
  <conditionalFormatting sqref="G26">
    <cfRule type="expression" dxfId="32" priority="53" stopIfTrue="1">
      <formula>OR(G26&gt;G23,AND(TODAY()&gt;G23,G26=""))</formula>
    </cfRule>
  </conditionalFormatting>
  <conditionalFormatting sqref="F19:G19">
    <cfRule type="expression" dxfId="31" priority="7" stopIfTrue="1">
      <formula>F19="RS = décision"</formula>
    </cfRule>
    <cfRule type="expression" dxfId="30" priority="8" stopIfTrue="1">
      <formula>F19="Refus tacite"</formula>
    </cfRule>
    <cfRule type="expression" dxfId="29" priority="1" stopIfTrue="1">
      <formula>F19="Décision de l'autorité"</formula>
    </cfRule>
  </conditionalFormatting>
  <conditionalFormatting sqref="D29:F29">
    <cfRule type="expression" dxfId="28" priority="3" stopIfTrue="1">
      <formula>J5=1</formula>
    </cfRule>
  </conditionalFormatting>
  <conditionalFormatting sqref="G29">
    <cfRule type="expression" dxfId="27" priority="2" stopIfTrue="1">
      <formula>J5=1</formula>
    </cfRule>
  </conditionalFormatting>
  <dataValidations count="4">
    <dataValidation type="date" operator="greaterThan" allowBlank="1" showErrorMessage="1" errorTitle="Date erronée" error="La date que vous avez introduite est antérieure à la date d'introduction du dossier !" sqref="C17 G17">
      <formula1>B17</formula1>
    </dataValidation>
    <dataValidation type="date" operator="greaterThanOrEqual" allowBlank="1" showErrorMessage="1" errorTitle="Date erronée" error="On ne peut recevoir un courrier avant qu'il ait été envoyé !" sqref="D17">
      <formula1>C17</formula1>
    </dataValidation>
    <dataValidation type="date" errorStyle="warning" operator="greaterThanOrEqual" allowBlank="1" showErrorMessage="1" errorTitle="Date erronée" error="L'envoi des compléments ne peut avoir lieu avant la réception de la demande de fourniture de ces compléments." sqref="E17">
      <formula1>D17</formula1>
    </dataValidation>
    <dataValidation type="whole" allowBlank="1" showInputMessage="1" showErrorMessage="1" errorTitle="Prorogation" error="Le nombre de jours de prorogation est en violation de la législation !" sqref="E21">
      <formula1>0</formula1>
      <formula2>X55</formula2>
    </dataValidation>
  </dataValidations>
  <printOptions horizontalCentered="1"/>
  <pageMargins left="0.59055118110236227" right="0.59055118110236227" top="0.78740157480314965" bottom="0.78740157480314965" header="0.51181102362204722" footer="0.51181102362204722"/>
  <pageSetup paperSize="9" scale="84" fitToHeight="2" orientation="portrait" r:id="rId1"/>
  <headerFooter alignWithMargins="0">
    <oddHeader>&amp;L&amp;"Bookman Old Style,Gras"&amp;8&amp;UDécret du 11 mars 1999&amp;C&amp;"Bookman Old Style,Gras"Délais 1&amp;Xère&amp;X instance&amp;R&amp;"Arial,Gras italique"&amp;8Plans modificatifs</oddHeader>
    <oddFooter xml:space="preserve">&amp;L&amp;"Cambria,Normal"&amp;8Feuille créée à partir de l'application RGPE&amp;C&amp;"Calibri,Normal"&amp;8Dossiers introduits à partir du 4/12/2011
(Décret programme du 27/10/2011)&amp;R&amp;"Comic Sans MS,Gras"&amp;8Imprimé le &amp;D </oddFooter>
  </headerFooter>
  <rowBreaks count="1" manualBreakCount="1">
    <brk id="36" max="6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2:X194"/>
  <sheetViews>
    <sheetView workbookViewId="0">
      <selection activeCell="A13" sqref="A13"/>
    </sheetView>
  </sheetViews>
  <sheetFormatPr baseColWidth="10" defaultRowHeight="12.75"/>
  <cols>
    <col min="1" max="1" width="24" customWidth="1"/>
    <col min="3" max="3" width="12.140625" customWidth="1"/>
    <col min="4" max="4" width="11" customWidth="1"/>
    <col min="5" max="5" width="5.7109375" customWidth="1"/>
    <col min="6" max="7" width="13.28515625" customWidth="1"/>
    <col min="8" max="8" width="8.7109375" customWidth="1"/>
    <col min="9" max="9" width="19.28515625" hidden="1" customWidth="1"/>
    <col min="10" max="11" width="11.42578125" hidden="1" customWidth="1"/>
    <col min="12" max="12" width="14.42578125" hidden="1" customWidth="1"/>
    <col min="13" max="24" width="11.42578125" hidden="1" customWidth="1"/>
  </cols>
  <sheetData>
    <row r="2" spans="1:24" ht="13.5" customHeight="1">
      <c r="A2" s="141" t="s">
        <v>0</v>
      </c>
      <c r="B2" s="76" t="str">
        <f>IF(Demande!L81=TRUE,IF(Demande!L77=TRUE,IF(Demande!B1&lt;&gt;"",Demande!B1,""),""),"")</f>
        <v/>
      </c>
      <c r="C2" s="141"/>
      <c r="D2" s="141"/>
      <c r="E2" s="141"/>
      <c r="F2" s="141" t="s">
        <v>976</v>
      </c>
      <c r="G2" s="142" t="str">
        <f>IF(Demande!L81=TRUE,IF(Demande!L77=TRUE,IF(Demande!G1&lt;&gt;"",Demande!G1,""),""),"")</f>
        <v/>
      </c>
    </row>
    <row r="3" spans="1:24" ht="13.5" customHeight="1">
      <c r="A3" s="2" t="s">
        <v>1</v>
      </c>
      <c r="B3" s="5" t="str">
        <f>IF(Demande!L81=TRUE,IF(Demande!L77=TRUE,IF(Demande!B2&lt;&gt;"",Demande!B2,""),""),"")</f>
        <v/>
      </c>
      <c r="C3" s="2"/>
      <c r="D3" s="2"/>
      <c r="E3" s="2"/>
      <c r="F3" s="2"/>
      <c r="G3" s="2"/>
      <c r="J3" s="6">
        <f>MAX(I17,I21,I29,I33,I41,I45,I53,I57)</f>
        <v>0</v>
      </c>
    </row>
    <row r="4" spans="1:24" ht="13.5" customHeight="1">
      <c r="A4" s="4" t="s">
        <v>2</v>
      </c>
      <c r="B4" s="5" t="str">
        <f>IF(Demande!L81=TRUE,IF(Demande!L77=TRUE,IF(Demande!B3&lt;&gt;"",Demande!B3,""),""),"")</f>
        <v/>
      </c>
      <c r="C4" s="5"/>
      <c r="D4" s="5"/>
      <c r="E4" s="5"/>
      <c r="F4" s="5"/>
      <c r="G4" s="5"/>
    </row>
    <row r="5" spans="1:24" ht="13.5" customHeight="1">
      <c r="A5" s="4" t="s">
        <v>3</v>
      </c>
      <c r="B5" s="5" t="str">
        <f>IF(Demande!L81=TRUE,IF(Demande!L77=TRUE,IF(Demande!B4&lt;&gt;"",Demande!B4,""),""),"")</f>
        <v/>
      </c>
      <c r="C5" s="5"/>
      <c r="D5" s="5"/>
      <c r="E5" s="5"/>
      <c r="F5" s="2"/>
      <c r="G5" s="2"/>
    </row>
    <row r="6" spans="1:24" ht="13.5" customHeight="1">
      <c r="A6" s="4" t="s">
        <v>5</v>
      </c>
      <c r="B6" s="5" t="str">
        <f>IF(Demande!L81=TRUE,IF(Demande!L77=TRUE,IF(Demande!B5&lt;&gt;"",Demande!B5,""),""),"")</f>
        <v/>
      </c>
      <c r="C6" s="5"/>
      <c r="D6" s="5"/>
      <c r="E6" s="5"/>
      <c r="F6" s="2"/>
      <c r="G6" s="2"/>
    </row>
    <row r="7" spans="1:24" ht="29.1" customHeight="1">
      <c r="A7" s="11" t="s">
        <v>7</v>
      </c>
      <c r="B7" s="373" t="str">
        <f>IF(Demande!L81=TRUE,IF(Demande!L77=TRUE,IF(Demande!B6&lt;&gt;"",Demande!B6,""),""),"")</f>
        <v/>
      </c>
      <c r="C7" s="374"/>
      <c r="D7" s="374"/>
      <c r="E7" s="374"/>
      <c r="F7" s="374"/>
      <c r="G7" s="374"/>
    </row>
    <row r="8" spans="1:24" ht="13.5" customHeight="1">
      <c r="A8" s="109"/>
      <c r="B8" s="139"/>
      <c r="C8" s="139"/>
      <c r="D8" s="139"/>
      <c r="E8" s="139"/>
      <c r="F8" s="139"/>
      <c r="G8" s="139"/>
    </row>
    <row r="9" spans="1:24" ht="15" customHeight="1">
      <c r="B9" s="106" t="str">
        <f>IF(Demande!L77=TRUE,IF(Demande!L81=TRUE,Demande!F14,""),"")</f>
        <v/>
      </c>
      <c r="F9" s="106" t="str">
        <f>IF(Demande!L77=TRUE,IF(Demande!L81=TRUE,Demande!D12,""),"")</f>
        <v/>
      </c>
    </row>
    <row r="10" spans="1:24" ht="13.5" customHeight="1">
      <c r="B10" s="106" t="str">
        <f>IF(Demande!L77=TRUE,IF(Demande!L83=6,"Etablissement SEVESO",""),"")</f>
        <v/>
      </c>
      <c r="C10" s="106"/>
      <c r="D10" s="106"/>
      <c r="F10" s="106" t="str">
        <f>IF(Demande!L77=TRUE,IF(Demande!L76=TRUE,Demande!D13,""),"")</f>
        <v/>
      </c>
      <c r="G10" s="106"/>
    </row>
    <row r="11" spans="1:24" ht="13.5" customHeight="1">
      <c r="F11" s="106"/>
      <c r="G11" s="106"/>
    </row>
    <row r="12" spans="1:24" ht="13.5" customHeight="1">
      <c r="F12" s="106"/>
      <c r="G12" s="106"/>
    </row>
    <row r="13" spans="1:24" ht="13.5" customHeight="1">
      <c r="A13" s="3"/>
      <c r="B13" s="381" t="s">
        <v>1057</v>
      </c>
      <c r="C13" s="382"/>
      <c r="D13" s="383"/>
    </row>
    <row r="14" spans="1:24" ht="13.5" customHeight="1">
      <c r="A14" s="37"/>
      <c r="B14" s="161" t="str">
        <f>IF(AND(Demande!$L$77=TRUE,A13&lt;&gt;""),"Début enquête","")</f>
        <v/>
      </c>
      <c r="C14" s="161" t="str">
        <f>IF(AND(Demande!$L$77=TRUE,A13&lt;&gt;""),"Fin enquête","")</f>
        <v/>
      </c>
      <c r="D14" s="161" t="str">
        <f>IF(AND(Demande!$L$77=TRUE,A13&lt;&gt;""),"PV enquête","")</f>
        <v/>
      </c>
      <c r="F14" s="384" t="str">
        <f>IF(AND(Demande!$L$77=TRUE,A13&lt;&gt;""),"Demande enquête publique","")</f>
        <v/>
      </c>
      <c r="G14" s="385"/>
      <c r="I14" s="198" t="s">
        <v>1011</v>
      </c>
      <c r="J14" s="198" t="s">
        <v>1012</v>
      </c>
      <c r="K14" s="205"/>
      <c r="M14" s="81" t="s">
        <v>1073</v>
      </c>
      <c r="N14" s="81"/>
      <c r="O14" s="81"/>
      <c r="P14" s="81" t="s">
        <v>1070</v>
      </c>
      <c r="Q14" s="81"/>
      <c r="R14" s="81"/>
      <c r="S14" s="81" t="s">
        <v>1071</v>
      </c>
      <c r="T14" s="81"/>
      <c r="U14" s="81"/>
      <c r="V14" s="81" t="s">
        <v>1072</v>
      </c>
      <c r="W14" s="81"/>
      <c r="X14" s="81"/>
    </row>
    <row r="15" spans="1:24" ht="13.5" customHeight="1">
      <c r="A15" s="37" t="s">
        <v>34</v>
      </c>
      <c r="B15" s="41" t="str">
        <f>IF(AND(Demande!$L$77=TRUE,A13&lt;&gt;""),Demande!$M$18+Demande!$M$19,"")</f>
        <v/>
      </c>
      <c r="C15" s="41" t="str">
        <f>IF(AND(Demande!$L$77=TRUE,A13&lt;&gt;""),IF(OR(Demande!$L$83=3,Demande!$L$83=5,Demande!$L$83=6),IF(OR(Demande!$L$75=1,Demande!$L$76=TRUE),Demande!$M$16,Demande!$M$17)),"")</f>
        <v/>
      </c>
      <c r="D15" s="41" t="str">
        <f>IF(AND(Demande!$L$77=TRUE,A13&lt;&gt;""),Demande!$M$20,"")</f>
        <v/>
      </c>
      <c r="F15" s="149" t="str">
        <f>IF(AND(Demande!$L$77=TRUE,A13&lt;&gt;""),"Demande","")</f>
        <v/>
      </c>
      <c r="G15" s="140" t="str">
        <f>IF(AND(Demande!$L$77=TRUE,A13&lt;&gt;""),'Plans modif'!$G$15,"")</f>
        <v/>
      </c>
      <c r="I15" s="17" t="str">
        <f>IF('Plans modif'!$G$15&lt;&gt;"",DATE(YEAR(J15),7,16),"")</f>
        <v/>
      </c>
      <c r="J15" s="25" t="str">
        <f>IF('Plans modif'!$G$15&lt;&gt;"",IF(AND(G16&lt;&gt;"",B21=""),G16+Demande!$M$18+Demande!$M$19,IF(B21&lt;&gt;"",B21,B17)),"")</f>
        <v/>
      </c>
      <c r="K15" s="25" t="str">
        <f>IF(OR(AND(I17&lt;&gt;0,I17&lt;&gt;31),AND(I17=31,B17=I15)),I16+1,J15)</f>
        <v/>
      </c>
      <c r="M15" s="34" t="s">
        <v>81</v>
      </c>
      <c r="N15" s="25" t="str">
        <f>IF('Plans modif'!$G$15&lt;&gt;"",IF(B17&lt;&gt;"",B17+C15+MAX(K17,K21),""),"")</f>
        <v/>
      </c>
      <c r="O15" s="83" t="str">
        <f>TEXT(N15,"jjjj")</f>
        <v/>
      </c>
      <c r="P15" s="34" t="s">
        <v>81</v>
      </c>
      <c r="Q15" s="25" t="str">
        <f>IF('Plans modif'!$G$15&lt;&gt;"",IF(B29&lt;&gt;"",B29+C27+MAX(K29,K33),""),"")</f>
        <v/>
      </c>
      <c r="R15" s="83" t="str">
        <f>TEXT(Q15,"jjjj")</f>
        <v/>
      </c>
      <c r="S15" s="34" t="s">
        <v>81</v>
      </c>
      <c r="T15" s="25" t="str">
        <f>IF('Plans modif'!$G$15&lt;&gt;"",IF(B41&lt;&gt;"",B41+C39+MAX(K41,K45),""),"")</f>
        <v/>
      </c>
      <c r="U15" s="83" t="str">
        <f>TEXT(T15,"jjjj")</f>
        <v/>
      </c>
      <c r="V15" s="34" t="s">
        <v>81</v>
      </c>
      <c r="W15" s="25" t="str">
        <f>IF('Plans modif'!$G$15&lt;&gt;"",IF(B53&lt;&gt;"",B53+C51+MAX(K53,K57),""),"")</f>
        <v/>
      </c>
      <c r="X15" s="83" t="str">
        <f>TEXT(W15,"jjjj")</f>
        <v/>
      </c>
    </row>
    <row r="16" spans="1:24" ht="13.5" customHeight="1">
      <c r="A16" s="37" t="s">
        <v>37</v>
      </c>
      <c r="B16" s="43" t="str">
        <f>IF(A13&lt;&gt;"",IF(OR(Demande!$L$83=3,Demande!$L$83=6),IF(B21&lt;&gt;"",B21-IF(G16&lt;&gt;"",G16,'Plans modif'!$G$15),""),""),"")</f>
        <v/>
      </c>
      <c r="C16" s="43" t="str">
        <f>IF(OR(Demande!$L$83=3,Demande!$L$83=6),IF(AND(B21&lt;&gt;"",C21&lt;&gt;""),C21-B21+1-M52-MAX(I17,I21),""),"")</f>
        <v/>
      </c>
      <c r="D16" s="43" t="str">
        <f>IF(Demande!$L$77=TRUE,IF('Plans modif'!$G$15&lt;&gt;"",IF(D20&lt;&gt;"",D20-C22,""),""),"")</f>
        <v/>
      </c>
      <c r="F16" s="149" t="str">
        <f>IF(AND(Demande!$L$77=TRUE,A13&lt;&gt;""),"Réception","")</f>
        <v/>
      </c>
      <c r="G16" s="56"/>
      <c r="I16" s="17" t="str">
        <f>IF('Plans modif'!$G$15&lt;&gt;"",I15+30,"")</f>
        <v/>
      </c>
      <c r="J16" s="25" t="str">
        <f>IF(B17&lt;&gt;"",N55+M72,"")</f>
        <v/>
      </c>
      <c r="M16" s="85" t="s">
        <v>24</v>
      </c>
      <c r="N16" s="85" t="s">
        <v>25</v>
      </c>
      <c r="O16" s="85" t="s">
        <v>26</v>
      </c>
      <c r="P16" s="85" t="s">
        <v>24</v>
      </c>
      <c r="Q16" s="85" t="s">
        <v>25</v>
      </c>
      <c r="R16" s="85" t="s">
        <v>26</v>
      </c>
      <c r="S16" s="85" t="s">
        <v>24</v>
      </c>
      <c r="T16" s="85" t="s">
        <v>25</v>
      </c>
      <c r="U16" s="85" t="s">
        <v>26</v>
      </c>
      <c r="V16" s="85" t="s">
        <v>24</v>
      </c>
      <c r="W16" s="85" t="s">
        <v>25</v>
      </c>
      <c r="X16" s="85" t="s">
        <v>26</v>
      </c>
    </row>
    <row r="17" spans="1:24" ht="13.5" customHeight="1">
      <c r="A17" s="44" t="s">
        <v>40</v>
      </c>
      <c r="B17" s="46" t="str">
        <f>IF(A13&lt;&gt;"",IF(Demande!$G$20&lt;&gt;"",IF(OR(Demande!$L$83=3,Demande!$L$83=5,Demande!$L$83=6),IF(B22&lt;&gt;"",B22+Demande!$M$19,IF(G16&lt;&gt;"",G16+B15,Demande!$G$20+B15)),""),""),"")</f>
        <v/>
      </c>
      <c r="C17" s="46" t="str">
        <f>IF(A13&lt;&gt;"",IF(OR(Demande!$L$83=3,Demande!$L$83=6),IF(B17&lt;&gt;"",N15+M32,""),""),"")</f>
        <v/>
      </c>
      <c r="D17" s="46" t="str">
        <f>IF(A13&lt;&gt;"",IF(B17&lt;&gt;"",IF(OR(Demande!$L$83=3,Demande!$L$83=6),C17+D15,""),""),"")</f>
        <v/>
      </c>
      <c r="I17" s="64">
        <f>IF('Plans modif'!$G$15&lt;&gt;"",IF(B17&lt;&gt;"",IF(AND(J15&lt;=I15,J16&gt;=I15),31,IF(AND(J15&gt;=I15,J16&lt;=I16),I16-J15+1,IF(AND(J15&gt;I15,J15&lt;=I16,J16&gt;=I16),I16-J15+1,0))),0),0)</f>
        <v>0</v>
      </c>
      <c r="J17" s="25" t="str">
        <f>IF(A13&lt;&gt;"",IF(Demande!$B$20&lt;&gt;"",IF(B21&lt;&gt;"",N35+M52,IF(B17&lt;&gt;"",N15+M32,""))),"")</f>
        <v/>
      </c>
      <c r="K17" s="322">
        <f>IF('Plans modif'!$G$15&lt;&gt;"",IF(B17&lt;&gt;"",IF(AND(B17&lt;=I15,J16&gt;=I15),31,IF(AND(B17&gt;=I15,J16&lt;=I16),I16-B17+1,IF(AND(B17&gt;I15,B17&lt;=I16,J16&gt;=I16),I16-B17+1,0))),0),0)</f>
        <v>0</v>
      </c>
      <c r="L17" s="283">
        <v>37257</v>
      </c>
      <c r="M17" s="89" t="e">
        <f>DATE(YEAR(N15),1,1)</f>
        <v>#VALUE!</v>
      </c>
      <c r="N17" s="82" t="e">
        <f>DATE(YEAR(N15+1),1,1)</f>
        <v>#VALUE!</v>
      </c>
      <c r="O17" s="90" t="e">
        <f>DATE(YEAR(N15+2),1,1)</f>
        <v>#VALUE!</v>
      </c>
      <c r="P17" s="89" t="e">
        <f>DATE(YEAR(Q15),1,1)</f>
        <v>#VALUE!</v>
      </c>
      <c r="Q17" s="82" t="e">
        <f>DATE(YEAR(Q15+1),1,1)</f>
        <v>#VALUE!</v>
      </c>
      <c r="R17" s="90" t="e">
        <f>DATE(YEAR(Q15+2),1,1)</f>
        <v>#VALUE!</v>
      </c>
      <c r="S17" s="89" t="e">
        <f>DATE(YEAR(T15),1,1)</f>
        <v>#VALUE!</v>
      </c>
      <c r="T17" s="82" t="e">
        <f>DATE(YEAR(T15+1),1,1)</f>
        <v>#VALUE!</v>
      </c>
      <c r="U17" s="90" t="e">
        <f>DATE(YEAR(T15+2),1,1)</f>
        <v>#VALUE!</v>
      </c>
      <c r="V17" s="89" t="e">
        <f>DATE(YEAR(W15),1,1)</f>
        <v>#VALUE!</v>
      </c>
      <c r="W17" s="82" t="e">
        <f>DATE(YEAR(W15+1),1,1)</f>
        <v>#VALUE!</v>
      </c>
      <c r="X17" s="90" t="e">
        <f>DATE(YEAR(W15+2),1,1)</f>
        <v>#VALUE!</v>
      </c>
    </row>
    <row r="18" spans="1:24" ht="13.5" customHeight="1">
      <c r="A18" s="37" t="s">
        <v>44</v>
      </c>
      <c r="B18" s="50" t="str">
        <f>IF(A13&lt;&gt;"",IF(Demande!$B$20&lt;&gt;"",IF(OR(Demande!$L$83=3,Demande!$L$83=6),IF(B21="",B17,IF(I21&lt;&gt;0,K19,IF(I17&lt;&gt;0,K15,B21))),""),""),"")</f>
        <v/>
      </c>
      <c r="C18" s="50" t="str">
        <f>IF(A13&lt;&gt;"",IF(OR(Demande!$L$83=3,Demande!$L$83=6),IF(Demande!$G$20&lt;&gt;"",J17,""),""),"")</f>
        <v/>
      </c>
      <c r="D18" s="50" t="str">
        <f>IF(A13&lt;&gt;"",IF(B18&lt;&gt;"",IF(Demande!$G$20&lt;&gt;"",IF(D20&lt;&gt;"",D20,C18+D15),""),""),"")</f>
        <v/>
      </c>
      <c r="F18" s="386" t="str">
        <f>IF(AND($J$3&gt;0,A13&lt;&gt;""),"Neutralisation de l'enquête","")</f>
        <v/>
      </c>
      <c r="G18" s="387"/>
      <c r="I18" s="1"/>
      <c r="J18" s="198" t="s">
        <v>1013</v>
      </c>
      <c r="K18" s="167"/>
      <c r="L18" s="283">
        <v>37377</v>
      </c>
      <c r="M18" s="89" t="e">
        <f>DATE(YEAR(N15),5,1)</f>
        <v>#VALUE!</v>
      </c>
      <c r="N18" s="82" t="e">
        <f>DATE(YEAR(N15+1),5,1)</f>
        <v>#VALUE!</v>
      </c>
      <c r="O18" s="90" t="e">
        <f>DATE(YEAR(N15+2),5,1)</f>
        <v>#VALUE!</v>
      </c>
      <c r="P18" s="89" t="e">
        <f>DATE(YEAR(Q15),5,1)</f>
        <v>#VALUE!</v>
      </c>
      <c r="Q18" s="82" t="e">
        <f>DATE(YEAR(Q15+1),5,1)</f>
        <v>#VALUE!</v>
      </c>
      <c r="R18" s="90" t="e">
        <f>DATE(YEAR(Q15+2),5,1)</f>
        <v>#VALUE!</v>
      </c>
      <c r="S18" s="89" t="e">
        <f>DATE(YEAR(T15),5,1)</f>
        <v>#VALUE!</v>
      </c>
      <c r="T18" s="82" t="e">
        <f>DATE(YEAR(T15+1),5,1)</f>
        <v>#VALUE!</v>
      </c>
      <c r="U18" s="90" t="e">
        <f>DATE(YEAR(T15+2),5,1)</f>
        <v>#VALUE!</v>
      </c>
      <c r="V18" s="89" t="e">
        <f>DATE(YEAR(W15),5,1)</f>
        <v>#VALUE!</v>
      </c>
      <c r="W18" s="82" t="e">
        <f>DATE(YEAR(W15+1),5,1)</f>
        <v>#VALUE!</v>
      </c>
      <c r="X18" s="90" t="e">
        <f>DATE(YEAR(W15+2),5,1)</f>
        <v>#VALUE!</v>
      </c>
    </row>
    <row r="19" spans="1:24" ht="13.5" customHeight="1">
      <c r="A19" s="4" t="s">
        <v>47</v>
      </c>
      <c r="B19" s="50" t="str">
        <f>TEXT(B18,"jjjj")</f>
        <v/>
      </c>
      <c r="C19" s="50" t="str">
        <f>TEXT(C18,"jjjj")</f>
        <v/>
      </c>
      <c r="D19" s="50" t="str">
        <f>TEXT(D18,"jjjj")</f>
        <v/>
      </c>
      <c r="F19" s="379" t="str">
        <f>IF($J$3&lt;&gt;0,IF(AND(Demande!$L$77=TRUE,A13&lt;&gt;""),CONCATENATE(MAX(I17,I21),IF(MAX(I17,I21)&lt;=1," jour"," jours")),""),"")</f>
        <v/>
      </c>
      <c r="G19" s="380"/>
      <c r="I19" s="17" t="str">
        <f>IF('Plans modif'!$G$15&lt;&gt;"",IF(B22&lt;&gt;"",DATE(YEAR(B22),12,24),IF(B17&lt;&gt;"",DATE(YEAR(B17-1),12,24),"")),"")</f>
        <v/>
      </c>
      <c r="J19" s="25" t="str">
        <f>IF('Plans modif'!$G$15&lt;&gt;"",IF(OR(Demande!$L$83=3,Demande!$L$83=6),IF(AND(J15&gt;=I19,J15&lt;=I20),I20+1,IF(B21&lt;&gt;"",B21,B17)),""),"")</f>
        <v/>
      </c>
      <c r="K19" s="25" t="str">
        <f>IF(AND(I21&lt;&gt;0,I21&lt;&gt;9),I20+1,J19)</f>
        <v/>
      </c>
      <c r="L19" s="283">
        <v>37458</v>
      </c>
      <c r="M19" s="89" t="e">
        <f>DATE(YEAR(N15),7,21)</f>
        <v>#VALUE!</v>
      </c>
      <c r="N19" s="82" t="e">
        <f>DATE(YEAR(N15+1),7,21)</f>
        <v>#VALUE!</v>
      </c>
      <c r="O19" s="90" t="e">
        <f>DATE(YEAR(N15+2),7,21)</f>
        <v>#VALUE!</v>
      </c>
      <c r="P19" s="89" t="e">
        <f>DATE(YEAR(Q15),7,21)</f>
        <v>#VALUE!</v>
      </c>
      <c r="Q19" s="82" t="e">
        <f>DATE(YEAR(Q15+1),7,21)</f>
        <v>#VALUE!</v>
      </c>
      <c r="R19" s="90" t="e">
        <f>DATE(YEAR(Q15+2),7,21)</f>
        <v>#VALUE!</v>
      </c>
      <c r="S19" s="89" t="e">
        <f>DATE(YEAR(T15),7,21)</f>
        <v>#VALUE!</v>
      </c>
      <c r="T19" s="82" t="e">
        <f>DATE(YEAR(T15+1),7,21)</f>
        <v>#VALUE!</v>
      </c>
      <c r="U19" s="90" t="e">
        <f>DATE(YEAR(T15+2),7,21)</f>
        <v>#VALUE!</v>
      </c>
      <c r="V19" s="89" t="e">
        <f>DATE(YEAR(W15),7,21)</f>
        <v>#VALUE!</v>
      </c>
      <c r="W19" s="82" t="e">
        <f>DATE(YEAR(W15+1),7,21)</f>
        <v>#VALUE!</v>
      </c>
      <c r="X19" s="90" t="e">
        <f>DATE(YEAR(W15+2),7,21)</f>
        <v>#VALUE!</v>
      </c>
    </row>
    <row r="20" spans="1:24" ht="13.5" customHeight="1">
      <c r="B20" s="320" t="s">
        <v>1065</v>
      </c>
      <c r="C20" s="320" t="s">
        <v>1066</v>
      </c>
      <c r="D20" s="56"/>
      <c r="I20" s="17" t="str">
        <f>IF('Plans modif'!$G$15&lt;&gt;"",IF(B17&lt;&gt;"",I19+8,""),"")</f>
        <v/>
      </c>
      <c r="J20" s="199"/>
      <c r="L20" s="283">
        <v>37483</v>
      </c>
      <c r="M20" s="89" t="e">
        <f>DATE(YEAR(N15),8,15)</f>
        <v>#VALUE!</v>
      </c>
      <c r="N20" s="82" t="e">
        <f>DATE(YEAR(N15+1),8,15)</f>
        <v>#VALUE!</v>
      </c>
      <c r="O20" s="90" t="e">
        <f>DATE(YEAR(N15+2),8,15)</f>
        <v>#VALUE!</v>
      </c>
      <c r="P20" s="89" t="e">
        <f>DATE(YEAR(Q15),8,15)</f>
        <v>#VALUE!</v>
      </c>
      <c r="Q20" s="82" t="e">
        <f>DATE(YEAR(Q15+1),8,15)</f>
        <v>#VALUE!</v>
      </c>
      <c r="R20" s="90" t="e">
        <f>DATE(YEAR(Q15+2),8,15)</f>
        <v>#VALUE!</v>
      </c>
      <c r="S20" s="89" t="e">
        <f>DATE(YEAR(T15),8,15)</f>
        <v>#VALUE!</v>
      </c>
      <c r="T20" s="82" t="e">
        <f>DATE(YEAR(T15+1),8,15)</f>
        <v>#VALUE!</v>
      </c>
      <c r="U20" s="90" t="e">
        <f>DATE(YEAR(T15+2),8,15)</f>
        <v>#VALUE!</v>
      </c>
      <c r="V20" s="89" t="e">
        <f>DATE(YEAR(W15),8,15)</f>
        <v>#VALUE!</v>
      </c>
      <c r="W20" s="82" t="e">
        <f>DATE(YEAR(W15+1),8,15)</f>
        <v>#VALUE!</v>
      </c>
      <c r="X20" s="90" t="e">
        <f>DATE(YEAR(W15+2),8,15)</f>
        <v>#VALUE!</v>
      </c>
    </row>
    <row r="21" spans="1:24" ht="13.5" customHeight="1">
      <c r="A21" s="319" t="s">
        <v>1051</v>
      </c>
      <c r="B21" s="56"/>
      <c r="C21" s="56"/>
      <c r="D21" s="275"/>
      <c r="I21" s="64">
        <f>IF('Plans modif'!$G$15&lt;&gt;"",IF(B17&lt;&gt;"",IF(AND(J15&lt;=I19,J16&gt;=I19),9,IF(AND(J15&gt;=I19,J16&lt;=I20),I20-J15+1,IF(AND(J15&gt;I19,J15&lt;=I20,J16&gt;=I20),I20-J15+1,0))),0),0)</f>
        <v>0</v>
      </c>
      <c r="J21" s="25"/>
      <c r="K21" s="322">
        <f>IF('Plans modif'!$G$15&lt;&gt;"",IF(B17&lt;&gt;"",IF(AND(B17&lt;=I19,J16&gt;=I19),9,IF(AND(B17&gt;=I19,J16&lt;=I20),I20-B17+1,IF(AND(B17&gt;I19,B17&lt;=I20,J16&gt;=I20),I20-B17+1,0))),0),0)</f>
        <v>0</v>
      </c>
      <c r="L21" s="283">
        <v>37561</v>
      </c>
      <c r="M21" s="89" t="e">
        <f>DATE(YEAR(N15),11,1)</f>
        <v>#VALUE!</v>
      </c>
      <c r="N21" s="82" t="e">
        <f>DATE(YEAR(N15+1),11,1)</f>
        <v>#VALUE!</v>
      </c>
      <c r="O21" s="90" t="e">
        <f>DATE(YEAR(N15+2),11,1)</f>
        <v>#VALUE!</v>
      </c>
      <c r="P21" s="89" t="e">
        <f>DATE(YEAR(Q15),11,1)</f>
        <v>#VALUE!</v>
      </c>
      <c r="Q21" s="82" t="e">
        <f>DATE(YEAR(Q15+1),11,1)</f>
        <v>#VALUE!</v>
      </c>
      <c r="R21" s="90" t="e">
        <f>DATE(YEAR(Q15+2),11,1)</f>
        <v>#VALUE!</v>
      </c>
      <c r="S21" s="89" t="e">
        <f>DATE(YEAR(T15),11,1)</f>
        <v>#VALUE!</v>
      </c>
      <c r="T21" s="82" t="e">
        <f>DATE(YEAR(T15+1),11,1)</f>
        <v>#VALUE!</v>
      </c>
      <c r="U21" s="90" t="e">
        <f>DATE(YEAR(T15+2),11,1)</f>
        <v>#VALUE!</v>
      </c>
      <c r="V21" s="89" t="e">
        <f>DATE(YEAR(W15),11,1)</f>
        <v>#VALUE!</v>
      </c>
      <c r="W21" s="82" t="e">
        <f>DATE(YEAR(W15+1),11,1)</f>
        <v>#VALUE!</v>
      </c>
      <c r="X21" s="90" t="e">
        <f>DATE(YEAR(W15+2),11,1)</f>
        <v>#VALUE!</v>
      </c>
    </row>
    <row r="22" spans="1:24" ht="13.5" customHeight="1">
      <c r="A22" s="319" t="s">
        <v>1067</v>
      </c>
      <c r="B22" s="56"/>
      <c r="C22" s="56"/>
      <c r="D22" s="261"/>
      <c r="E22" s="261"/>
      <c r="F22" s="261"/>
      <c r="G22" s="261"/>
      <c r="H22" s="261"/>
      <c r="I22" s="261"/>
      <c r="J22" s="261"/>
      <c r="K22" s="261"/>
      <c r="L22" s="283">
        <v>37571</v>
      </c>
      <c r="M22" s="89" t="e">
        <f>DATE(YEAR(N15),11,11)</f>
        <v>#VALUE!</v>
      </c>
      <c r="N22" s="82" t="e">
        <f>DATE(YEAR(N15+1),11,11)</f>
        <v>#VALUE!</v>
      </c>
      <c r="O22" s="90" t="e">
        <f>DATE(YEAR(N15+2),11,11)</f>
        <v>#VALUE!</v>
      </c>
      <c r="P22" s="89" t="e">
        <f>DATE(YEAR(Q15),11,11)</f>
        <v>#VALUE!</v>
      </c>
      <c r="Q22" s="82" t="e">
        <f>DATE(YEAR(Q15+1),11,11)</f>
        <v>#VALUE!</v>
      </c>
      <c r="R22" s="90" t="e">
        <f>DATE(YEAR(Q15+2),11,11)</f>
        <v>#VALUE!</v>
      </c>
      <c r="S22" s="89" t="e">
        <f>DATE(YEAR(T15),11,11)</f>
        <v>#VALUE!</v>
      </c>
      <c r="T22" s="82" t="e">
        <f>DATE(YEAR(T15+1),11,11)</f>
        <v>#VALUE!</v>
      </c>
      <c r="U22" s="90" t="e">
        <f>DATE(YEAR(T15+2),11,11)</f>
        <v>#VALUE!</v>
      </c>
      <c r="V22" s="89" t="e">
        <f>DATE(YEAR(W15),11,11)</f>
        <v>#VALUE!</v>
      </c>
      <c r="W22" s="82" t="e">
        <f>DATE(YEAR(W15+1),11,11)</f>
        <v>#VALUE!</v>
      </c>
      <c r="X22" s="90" t="e">
        <f>DATE(YEAR(W15+2),11,11)</f>
        <v>#VALUE!</v>
      </c>
    </row>
    <row r="23" spans="1:24" ht="13.5" customHeight="1">
      <c r="L23" s="283">
        <v>37615</v>
      </c>
      <c r="M23" s="89" t="e">
        <f>DATE(YEAR(N15),12,25)</f>
        <v>#VALUE!</v>
      </c>
      <c r="N23" s="82" t="e">
        <f>DATE(YEAR(N15+1),12,25)</f>
        <v>#VALUE!</v>
      </c>
      <c r="O23" s="90" t="e">
        <f>DATE(YEAR(N15+2),12,25)</f>
        <v>#VALUE!</v>
      </c>
      <c r="P23" s="89" t="e">
        <f>DATE(YEAR(Q15),12,25)</f>
        <v>#VALUE!</v>
      </c>
      <c r="Q23" s="82" t="e">
        <f>DATE(YEAR(Q15+1),12,25)</f>
        <v>#VALUE!</v>
      </c>
      <c r="R23" s="90" t="e">
        <f>DATE(YEAR(Q15+2),12,25)</f>
        <v>#VALUE!</v>
      </c>
      <c r="S23" s="89" t="e">
        <f>DATE(YEAR(T15),12,25)</f>
        <v>#VALUE!</v>
      </c>
      <c r="T23" s="82" t="e">
        <f>DATE(YEAR(T15+1),12,25)</f>
        <v>#VALUE!</v>
      </c>
      <c r="U23" s="90" t="e">
        <f>DATE(YEAR(T15+2),12,25)</f>
        <v>#VALUE!</v>
      </c>
      <c r="V23" s="89" t="e">
        <f>DATE(YEAR(W15),12,25)</f>
        <v>#VALUE!</v>
      </c>
      <c r="W23" s="82" t="e">
        <f>DATE(YEAR(W15+1),12,25)</f>
        <v>#VALUE!</v>
      </c>
      <c r="X23" s="90" t="e">
        <f>DATE(YEAR(W15+2),12,25)</f>
        <v>#VALUE!</v>
      </c>
    </row>
    <row r="24" spans="1:24" ht="13.5" customHeight="1">
      <c r="L24" s="47" t="s">
        <v>43</v>
      </c>
      <c r="M24" s="92" t="e">
        <f>IF(N15&lt;&gt;M17,IF(N15&lt;&gt;M18,IF(N15&lt;&gt;M19,IF(N15&lt;&gt;M20,IF(N15&lt;&gt;M21,IF(N15&lt;&gt;M22,IF(N15&lt;&gt;M23,0,1),1),1),1),1),1),1)</f>
        <v>#VALUE!</v>
      </c>
      <c r="N24" s="93" t="e">
        <f>IF(N15+1&lt;&gt;N17,IF(N15+1&lt;&gt;N18,IF(N15+1&lt;&gt;N19,IF(N15+1&lt;&gt;N20,IF(N15+1&lt;&gt;N21,IF(N15+1&lt;&gt;N22,IF(N15+1&lt;&gt;N23,0,1),1),1),1),1),1),1)</f>
        <v>#VALUE!</v>
      </c>
      <c r="O24" s="94" t="e">
        <f>IF(N15+2&lt;&gt;O17,IF(N15+2&lt;&gt;O18,IF(N15+2&lt;&gt;O19,IF(N15+2&lt;&gt;O20,IF(N15+2&lt;&gt;O21,IF(N15+2&lt;&gt;O22,IF(N15+2&lt;&gt;O23,0,1),1),1),1),1),1),1)</f>
        <v>#VALUE!</v>
      </c>
      <c r="P24" s="92" t="e">
        <f>IF(Q15&lt;&gt;P17,IF(Q15&lt;&gt;P18,IF(Q15&lt;&gt;P19,IF(Q15&lt;&gt;P20,IF(Q15&lt;&gt;P21,IF(Q15&lt;&gt;P22,IF(Q15&lt;&gt;P23,0,1),1),1),1),1),1),1)</f>
        <v>#VALUE!</v>
      </c>
      <c r="Q24" s="93" t="e">
        <f>IF(Q15+1&lt;&gt;Q17,IF(Q15+1&lt;&gt;Q18,IF(Q15+1&lt;&gt;Q19,IF(Q15+1&lt;&gt;Q20,IF(Q15+1&lt;&gt;Q21,IF(Q15+1&lt;&gt;Q22,IF(Q15+1&lt;&gt;Q23,0,1),1),1),1),1),1),1)</f>
        <v>#VALUE!</v>
      </c>
      <c r="R24" s="94" t="e">
        <f>IF(Q15+2&lt;&gt;R17,IF(Q15+2&lt;&gt;R18,IF(Q15+2&lt;&gt;R19,IF(Q15+2&lt;&gt;R20,IF(Q15+2&lt;&gt;R21,IF(Q15+2&lt;&gt;R22,IF(Q15+2&lt;&gt;R23,0,1),1),1),1),1),1),1)</f>
        <v>#VALUE!</v>
      </c>
      <c r="S24" s="92" t="e">
        <f>IF(T15&lt;&gt;S17,IF(T15&lt;&gt;S18,IF(T15&lt;&gt;S19,IF(T15&lt;&gt;S20,IF(T15&lt;&gt;S21,IF(T15&lt;&gt;S22,IF(T15&lt;&gt;S23,0,1),1),1),1),1),1),1)</f>
        <v>#VALUE!</v>
      </c>
      <c r="T24" s="93" t="e">
        <f>IF(T15+1&lt;&gt;T17,IF(T15+1&lt;&gt;T18,IF(T15+1&lt;&gt;T19,IF(T15+1&lt;&gt;T20,IF(T15+1&lt;&gt;T21,IF(T15+1&lt;&gt;T22,IF(T15+1&lt;&gt;T23,0,1),1),1),1),1),1),1)</f>
        <v>#VALUE!</v>
      </c>
      <c r="U24" s="94" t="e">
        <f>IF(T15+2&lt;&gt;U17,IF(T15+2&lt;&gt;U18,IF(T15+2&lt;&gt;U19,IF(T15+2&lt;&gt;U20,IF(T15+2&lt;&gt;U21,IF(T15+2&lt;&gt;U22,IF(T15+2&lt;&gt;U23,0,1),1),1),1),1),1),1)</f>
        <v>#VALUE!</v>
      </c>
      <c r="V24" s="92" t="e">
        <f>IF(W15&lt;&gt;V17,IF(W15&lt;&gt;V18,IF(W15&lt;&gt;V19,IF(W15&lt;&gt;V20,IF(W15&lt;&gt;V21,IF(W15&lt;&gt;V22,IF(W15&lt;&gt;V23,0,1),1),1),1),1),1),1)</f>
        <v>#VALUE!</v>
      </c>
      <c r="W24" s="93" t="e">
        <f>IF(W15+1&lt;&gt;W17,IF(W15+1&lt;&gt;W18,IF(W15+1&lt;&gt;W19,IF(W15+1&lt;&gt;W20,IF(W15+1&lt;&gt;W21,IF(W15+1&lt;&gt;W22,IF(W15+1&lt;&gt;W23,0,1),1),1),1),1),1),1)</f>
        <v>#VALUE!</v>
      </c>
      <c r="X24" s="94" t="e">
        <f>IF(W15+2&lt;&gt;X17,IF(W15+2&lt;&gt;X18,IF(W15+2&lt;&gt;X19,IF(W15+2&lt;&gt;X20,IF(W15+2&lt;&gt;X21,IF(W15+2&lt;&gt;X22,IF(W15+2&lt;&gt;X23,0,1),1),1),1),1),1),1)</f>
        <v>#VALUE!</v>
      </c>
    </row>
    <row r="25" spans="1:24" ht="13.5" customHeight="1">
      <c r="A25" s="3"/>
      <c r="B25" s="381" t="s">
        <v>1057</v>
      </c>
      <c r="C25" s="382"/>
      <c r="D25" s="383"/>
      <c r="L25" s="282" t="s">
        <v>1056</v>
      </c>
      <c r="M25" s="256" t="e">
        <f>DATE(YEAR(N15),IF((25-MOD(11*MOD(YEAR(N15),19)+4-INT((7*MOD(YEAR(N15),19)+1)/19),29)-MOD(YEAR(N15)-1900+INT((YEAR(N15)-1900)/4)+31-MOD(11*MOD(YEAR(N15),19)+4-INT((7*MOD(YEAR(N15),19)+1)/19),29),7))&lt;=0,3,4),IF(25-MOD(11*MOD(YEAR(N15),19)+4-INT((7*MOD(YEAR(N15),19)+1)/19),29)-MOD(YEAR(N15)-1900+INT((YEAR(N15)-1900)/4)+31-MOD(11*MOD(YEAR(N15),19)+4-INT((7*MOD(YEAR(N15),19)+1)/19),29),7)&lt;=0,25-MOD(11*MOD(YEAR(N15),19)+4-INT((7*MOD(YEAR(N15),19)+1)/19),29)-MOD(YEAR(N15)-1900+INT((YEAR(N15)-1900)/4)+31-MOD(11*MOD(YEAR(N15),19)+4-INT((7*MOD(YEAR(N15),19)+1)/19),29),7)+31,25-MOD(11*MOD(YEAR(N15),19)+4-INT((7*MOD(YEAR(N15),19)+1)/19),29)-MOD(YEAR(N15)-1900+INT((YEAR(N15)-1900)/4)+31-MOD(11*MOD(YEAR(N15),19)+4-INT((7*MOD(YEAR(N15),19)+1)/19),29),7)))</f>
        <v>#VALUE!</v>
      </c>
      <c r="N25" s="256" t="e">
        <f>DATE(YEAR((N15+1)),IF((25-MOD(11*MOD(YEAR((N15+1)),19)+4-INT((7*MOD(YEAR((N15+1)),19)+1)/19),29)-MOD(YEAR((N15+1))-1900+INT((YEAR((N15+1))-1900)/4)+31-MOD(11*MOD(YEAR((N15+1)),19)+4-INT((7*MOD(YEAR((N15+1)),19)+1)/19),29),7))&lt;=0,3,4),IF(25-MOD(11*MOD(YEAR((N15+1)),19)+4-INT((7*MOD(YEAR((N15+1)),19)+1)/19),29)-MOD(YEAR((N15+1))-1900+INT((YEAR((N15+1))-1900)/4)+31-MOD(11*MOD(YEAR((N15+1)),19)+4-INT((7*MOD(YEAR((N15+1)),19)+1)/19),29),7)&lt;=0,25-MOD(11*MOD(YEAR((N15+1)),19)+4-INT((7*MOD(YEAR((N15+1)),19)+1)/19),29)-MOD(YEAR((N15+1))-1900+INT((YEAR((N15+1))-1900)/4)+31-MOD(11*MOD(YEAR((N15+1)),19)+4-INT((7*MOD(YEAR((N15+1)),19)+1)/19),29),7)+31,25-MOD(11*MOD(YEAR((N15+1)),19)+4-INT((7*MOD(YEAR((N15+1)),19)+1)/19),29)-MOD(YEAR((N15+1))-1900+INT((YEAR((N15+1))-1900)/4)+31-MOD(11*MOD(YEAR((N15+1)),19)+4-INT((7*MOD(YEAR((N15+1)),19)+1)/19),29),7)))</f>
        <v>#VALUE!</v>
      </c>
      <c r="O25" s="256" t="e">
        <f>DATE(YEAR((N15+2)),IF((25-MOD(11*MOD(YEAR((N15+2)),19)+4-INT((7*MOD(YEAR((N15+2)),19)+1)/19),29)-MOD(YEAR((N15+2))-1900+INT((YEAR((N15+2))-1900)/4)+31-MOD(11*MOD(YEAR((N15+2)),19)+4-INT((7*MOD(YEAR((N15+2)),19)+1)/19),29),7))&lt;=0,3,4),IF(25-MOD(11*MOD(YEAR((N15+2)),19)+4-INT((7*MOD(YEAR((N15+2)),19)+1)/19),29)-MOD(YEAR((N15+2))-1900+INT((YEAR((N15+2))-1900)/4)+31-MOD(11*MOD(YEAR((N15+2)),19)+4-INT((7*MOD(YEAR((N15+2)),19)+1)/19),29),7)&lt;=0,25-MOD(11*MOD(YEAR((N15+2)),19)+4-INT((7*MOD(YEAR((N15+2)),19)+1)/19),29)-MOD(YEAR((N15+2))-1900+INT((YEAR((N15+2))-1900)/4)+31-MOD(11*MOD(YEAR((N15+2)),19)+4-INT((7*MOD(YEAR((N15+2)),19)+1)/19),29),7)+31,25-MOD(11*MOD(YEAR((N15+2)),19)+4-INT((7*MOD(YEAR((N15+2)),19)+1)/19),29)-MOD(YEAR((N15+2))-1900+INT((YEAR((N15+2))-1900)/4)+31-MOD(11*MOD(YEAR((N15+2)),19)+4-INT((7*MOD(YEAR((N15+2)),19)+1)/19),29),7)))</f>
        <v>#VALUE!</v>
      </c>
      <c r="P25" s="256" t="e">
        <f>DATE(YEAR(Q15),IF((25-MOD(11*MOD(YEAR(Q15),19)+4-INT((7*MOD(YEAR(Q15),19)+1)/19),29)-MOD(YEAR(Q15)-1900+INT((YEAR(Q15)-1900)/4)+31-MOD(11*MOD(YEAR(Q15),19)+4-INT((7*MOD(YEAR(Q15),19)+1)/19),29),7))&lt;=0,3,4),IF(25-MOD(11*MOD(YEAR(Q15),19)+4-INT((7*MOD(YEAR(Q15),19)+1)/19),29)-MOD(YEAR(Q15)-1900+INT((YEAR(Q15)-1900)/4)+31-MOD(11*MOD(YEAR(Q15),19)+4-INT((7*MOD(YEAR(Q15),19)+1)/19),29),7)&lt;=0,25-MOD(11*MOD(YEAR(Q15),19)+4-INT((7*MOD(YEAR(Q15),19)+1)/19),29)-MOD(YEAR(Q15)-1900+INT((YEAR(Q15)-1900)/4)+31-MOD(11*MOD(YEAR(Q15),19)+4-INT((7*MOD(YEAR(Q15),19)+1)/19),29),7)+31,25-MOD(11*MOD(YEAR(Q15),19)+4-INT((7*MOD(YEAR(Q15),19)+1)/19),29)-MOD(YEAR(Q15)-1900+INT((YEAR(Q15)-1900)/4)+31-MOD(11*MOD(YEAR(Q15),19)+4-INT((7*MOD(YEAR(Q15),19)+1)/19),29),7)))</f>
        <v>#VALUE!</v>
      </c>
      <c r="Q25" s="256" t="e">
        <f>DATE(YEAR((Q15+1)),IF((25-MOD(11*MOD(YEAR((Q15+1)),19)+4-INT((7*MOD(YEAR((Q15+1)),19)+1)/19),29)-MOD(YEAR((Q15+1))-1900+INT((YEAR((Q15+1))-1900)/4)+31-MOD(11*MOD(YEAR((Q15+1)),19)+4-INT((7*MOD(YEAR((Q15+1)),19)+1)/19),29),7))&lt;=0,3,4),IF(25-MOD(11*MOD(YEAR((Q15+1)),19)+4-INT((7*MOD(YEAR((Q15+1)),19)+1)/19),29)-MOD(YEAR((Q15+1))-1900+INT((YEAR((Q15+1))-1900)/4)+31-MOD(11*MOD(YEAR((Q15+1)),19)+4-INT((7*MOD(YEAR((Q15+1)),19)+1)/19),29),7)&lt;=0,25-MOD(11*MOD(YEAR((Q15+1)),19)+4-INT((7*MOD(YEAR((Q15+1)),19)+1)/19),29)-MOD(YEAR((Q15+1))-1900+INT((YEAR((Q15+1))-1900)/4)+31-MOD(11*MOD(YEAR((Q15+1)),19)+4-INT((7*MOD(YEAR((Q15+1)),19)+1)/19),29),7)+31,25-MOD(11*MOD(YEAR((Q15+1)),19)+4-INT((7*MOD(YEAR((Q15+1)),19)+1)/19),29)-MOD(YEAR((Q15+1))-1900+INT((YEAR((Q15+1))-1900)/4)+31-MOD(11*MOD(YEAR((Q15+1)),19)+4-INT((7*MOD(YEAR((Q15+1)),19)+1)/19),29),7)))</f>
        <v>#VALUE!</v>
      </c>
      <c r="R25" s="256" t="e">
        <f>DATE(YEAR((Q15+2)),IF((25-MOD(11*MOD(YEAR((Q15+2)),19)+4-INT((7*MOD(YEAR((Q15+2)),19)+1)/19),29)-MOD(YEAR((Q15+2))-1900+INT((YEAR((Q15+2))-1900)/4)+31-MOD(11*MOD(YEAR((Q15+2)),19)+4-INT((7*MOD(YEAR((Q15+2)),19)+1)/19),29),7))&lt;=0,3,4),IF(25-MOD(11*MOD(YEAR((Q15+2)),19)+4-INT((7*MOD(YEAR((Q15+2)),19)+1)/19),29)-MOD(YEAR((Q15+2))-1900+INT((YEAR((Q15+2))-1900)/4)+31-MOD(11*MOD(YEAR((Q15+2)),19)+4-INT((7*MOD(YEAR((Q15+2)),19)+1)/19),29),7)&lt;=0,25-MOD(11*MOD(YEAR((Q15+2)),19)+4-INT((7*MOD(YEAR((Q15+2)),19)+1)/19),29)-MOD(YEAR((Q15+2))-1900+INT((YEAR((Q15+2))-1900)/4)+31-MOD(11*MOD(YEAR((Q15+2)),19)+4-INT((7*MOD(YEAR((Q15+2)),19)+1)/19),29),7)+31,25-MOD(11*MOD(YEAR((Q15+2)),19)+4-INT((7*MOD(YEAR((Q15+2)),19)+1)/19),29)-MOD(YEAR((Q15+2))-1900+INT((YEAR((Q15+2))-1900)/4)+31-MOD(11*MOD(YEAR((Q15+2)),19)+4-INT((7*MOD(YEAR((Q15+2)),19)+1)/19),29),7)))</f>
        <v>#VALUE!</v>
      </c>
      <c r="S25" s="256" t="e">
        <f>DATE(YEAR(T15),IF((25-MOD(11*MOD(YEAR(T15),19)+4-INT((7*MOD(YEAR(T15),19)+1)/19),29)-MOD(YEAR(T15)-1900+INT((YEAR(T15)-1900)/4)+31-MOD(11*MOD(YEAR(T15),19)+4-INT((7*MOD(YEAR(T15),19)+1)/19),29),7))&lt;=0,3,4),IF(25-MOD(11*MOD(YEAR(T15),19)+4-INT((7*MOD(YEAR(T15),19)+1)/19),29)-MOD(YEAR(T15)-1900+INT((YEAR(T15)-1900)/4)+31-MOD(11*MOD(YEAR(T15),19)+4-INT((7*MOD(YEAR(T15),19)+1)/19),29),7)&lt;=0,25-MOD(11*MOD(YEAR(T15),19)+4-INT((7*MOD(YEAR(T15),19)+1)/19),29)-MOD(YEAR(T15)-1900+INT((YEAR(T15)-1900)/4)+31-MOD(11*MOD(YEAR(T15),19)+4-INT((7*MOD(YEAR(T15),19)+1)/19),29),7)+31,25-MOD(11*MOD(YEAR(T15),19)+4-INT((7*MOD(YEAR(T15),19)+1)/19),29)-MOD(YEAR(T15)-1900+INT((YEAR(T15)-1900)/4)+31-MOD(11*MOD(YEAR(T15),19)+4-INT((7*MOD(YEAR(T15),19)+1)/19),29),7)))</f>
        <v>#VALUE!</v>
      </c>
      <c r="T25" s="256" t="e">
        <f>DATE(YEAR((T15+1)),IF((25-MOD(11*MOD(YEAR((T15+1)),19)+4-INT((7*MOD(YEAR((T15+1)),19)+1)/19),29)-MOD(YEAR((T15+1))-1900+INT((YEAR((T15+1))-1900)/4)+31-MOD(11*MOD(YEAR((T15+1)),19)+4-INT((7*MOD(YEAR((T15+1)),19)+1)/19),29),7))&lt;=0,3,4),IF(25-MOD(11*MOD(YEAR((T15+1)),19)+4-INT((7*MOD(YEAR((T15+1)),19)+1)/19),29)-MOD(YEAR((T15+1))-1900+INT((YEAR((T15+1))-1900)/4)+31-MOD(11*MOD(YEAR((T15+1)),19)+4-INT((7*MOD(YEAR((T15+1)),19)+1)/19),29),7)&lt;=0,25-MOD(11*MOD(YEAR((T15+1)),19)+4-INT((7*MOD(YEAR((T15+1)),19)+1)/19),29)-MOD(YEAR((T15+1))-1900+INT((YEAR((T15+1))-1900)/4)+31-MOD(11*MOD(YEAR((T15+1)),19)+4-INT((7*MOD(YEAR((T15+1)),19)+1)/19),29),7)+31,25-MOD(11*MOD(YEAR((T15+1)),19)+4-INT((7*MOD(YEAR((T15+1)),19)+1)/19),29)-MOD(YEAR((T15+1))-1900+INT((YEAR((T15+1))-1900)/4)+31-MOD(11*MOD(YEAR((T15+1)),19)+4-INT((7*MOD(YEAR((T15+1)),19)+1)/19),29),7)))</f>
        <v>#VALUE!</v>
      </c>
      <c r="U25" s="256" t="e">
        <f>DATE(YEAR((T15+2)),IF((25-MOD(11*MOD(YEAR((T15+2)),19)+4-INT((7*MOD(YEAR((T15+2)),19)+1)/19),29)-MOD(YEAR((T15+2))-1900+INT((YEAR((T15+2))-1900)/4)+31-MOD(11*MOD(YEAR((T15+2)),19)+4-INT((7*MOD(YEAR((T15+2)),19)+1)/19),29),7))&lt;=0,3,4),IF(25-MOD(11*MOD(YEAR((T15+2)),19)+4-INT((7*MOD(YEAR((T15+2)),19)+1)/19),29)-MOD(YEAR((T15+2))-1900+INT((YEAR((T15+2))-1900)/4)+31-MOD(11*MOD(YEAR((T15+2)),19)+4-INT((7*MOD(YEAR((T15+2)),19)+1)/19),29),7)&lt;=0,25-MOD(11*MOD(YEAR((T15+2)),19)+4-INT((7*MOD(YEAR((T15+2)),19)+1)/19),29)-MOD(YEAR((T15+2))-1900+INT((YEAR((T15+2))-1900)/4)+31-MOD(11*MOD(YEAR((T15+2)),19)+4-INT((7*MOD(YEAR((T15+2)),19)+1)/19),29),7)+31,25-MOD(11*MOD(YEAR((T15+2)),19)+4-INT((7*MOD(YEAR((T15+2)),19)+1)/19),29)-MOD(YEAR((T15+2))-1900+INT((YEAR((T15+2))-1900)/4)+31-MOD(11*MOD(YEAR((T15+2)),19)+4-INT((7*MOD(YEAR((T15+2)),19)+1)/19),29),7)))</f>
        <v>#VALUE!</v>
      </c>
      <c r="V25" s="256" t="e">
        <f>DATE(YEAR(W15),IF((25-MOD(11*MOD(YEAR(W15),19)+4-INT((7*MOD(YEAR(W15),19)+1)/19),29)-MOD(YEAR(W15)-1900+INT((YEAR(W15)-1900)/4)+31-MOD(11*MOD(YEAR(W15),19)+4-INT((7*MOD(YEAR(W15),19)+1)/19),29),7))&lt;=0,3,4),IF(25-MOD(11*MOD(YEAR(W15),19)+4-INT((7*MOD(YEAR(W15),19)+1)/19),29)-MOD(YEAR(W15)-1900+INT((YEAR(W15)-1900)/4)+31-MOD(11*MOD(YEAR(W15),19)+4-INT((7*MOD(YEAR(W15),19)+1)/19),29),7)&lt;=0,25-MOD(11*MOD(YEAR(W15),19)+4-INT((7*MOD(YEAR(W15),19)+1)/19),29)-MOD(YEAR(W15)-1900+INT((YEAR(W15)-1900)/4)+31-MOD(11*MOD(YEAR(W15),19)+4-INT((7*MOD(YEAR(W15),19)+1)/19),29),7)+31,25-MOD(11*MOD(YEAR(W15),19)+4-INT((7*MOD(YEAR(W15),19)+1)/19),29)-MOD(YEAR(W15)-1900+INT((YEAR(W15)-1900)/4)+31-MOD(11*MOD(YEAR(W15),19)+4-INT((7*MOD(YEAR(W15),19)+1)/19),29),7)))</f>
        <v>#VALUE!</v>
      </c>
      <c r="W25" s="256" t="e">
        <f>DATE(YEAR((W15+1)),IF((25-MOD(11*MOD(YEAR((W15+1)),19)+4-INT((7*MOD(YEAR((W15+1)),19)+1)/19),29)-MOD(YEAR((W15+1))-1900+INT((YEAR((W15+1))-1900)/4)+31-MOD(11*MOD(YEAR((W15+1)),19)+4-INT((7*MOD(YEAR((W15+1)),19)+1)/19),29),7))&lt;=0,3,4),IF(25-MOD(11*MOD(YEAR((W15+1)),19)+4-INT((7*MOD(YEAR((W15+1)),19)+1)/19),29)-MOD(YEAR((W15+1))-1900+INT((YEAR((W15+1))-1900)/4)+31-MOD(11*MOD(YEAR((W15+1)),19)+4-INT((7*MOD(YEAR((W15+1)),19)+1)/19),29),7)&lt;=0,25-MOD(11*MOD(YEAR((W15+1)),19)+4-INT((7*MOD(YEAR((W15+1)),19)+1)/19),29)-MOD(YEAR((W15+1))-1900+INT((YEAR((W15+1))-1900)/4)+31-MOD(11*MOD(YEAR((W15+1)),19)+4-INT((7*MOD(YEAR((W15+1)),19)+1)/19),29),7)+31,25-MOD(11*MOD(YEAR((W15+1)),19)+4-INT((7*MOD(YEAR((W15+1)),19)+1)/19),29)-MOD(YEAR((W15+1))-1900+INT((YEAR((W15+1))-1900)/4)+31-MOD(11*MOD(YEAR((W15+1)),19)+4-INT((7*MOD(YEAR((W15+1)),19)+1)/19),29),7)))</f>
        <v>#VALUE!</v>
      </c>
      <c r="X25" s="256" t="e">
        <f>DATE(YEAR((W15+2)),IF((25-MOD(11*MOD(YEAR((W15+2)),19)+4-INT((7*MOD(YEAR((W15+2)),19)+1)/19),29)-MOD(YEAR((W15+2))-1900+INT((YEAR((W15+2))-1900)/4)+31-MOD(11*MOD(YEAR((W15+2)),19)+4-INT((7*MOD(YEAR((W15+2)),19)+1)/19),29),7))&lt;=0,3,4),IF(25-MOD(11*MOD(YEAR((W15+2)),19)+4-INT((7*MOD(YEAR((W15+2)),19)+1)/19),29)-MOD(YEAR((W15+2))-1900+INT((YEAR((W15+2))-1900)/4)+31-MOD(11*MOD(YEAR((W15+2)),19)+4-INT((7*MOD(YEAR((W15+2)),19)+1)/19),29),7)&lt;=0,25-MOD(11*MOD(YEAR((W15+2)),19)+4-INT((7*MOD(YEAR((W15+2)),19)+1)/19),29)-MOD(YEAR((W15+2))-1900+INT((YEAR((W15+2))-1900)/4)+31-MOD(11*MOD(YEAR((W15+2)),19)+4-INT((7*MOD(YEAR((W15+2)),19)+1)/19),29),7)+31,25-MOD(11*MOD(YEAR((W15+2)),19)+4-INT((7*MOD(YEAR((W15+2)),19)+1)/19),29)-MOD(YEAR((W15+2))-1900+INT((YEAR((W15+2))-1900)/4)+31-MOD(11*MOD(YEAR((W15+2)),19)+4-INT((7*MOD(YEAR((W15+2)),19)+1)/19),29),7)))</f>
        <v>#VALUE!</v>
      </c>
    </row>
    <row r="26" spans="1:24" ht="13.5" customHeight="1">
      <c r="A26" s="37"/>
      <c r="B26" s="161" t="str">
        <f>IF(AND(Demande!$L$77=TRUE,A25&lt;&gt;""),"Début enquête","")</f>
        <v/>
      </c>
      <c r="C26" s="161" t="str">
        <f>IF(AND(Demande!$L$77=TRUE,A25&lt;&gt;""),"Fin enquête","")</f>
        <v/>
      </c>
      <c r="D26" s="161" t="str">
        <f>IF(AND(Demande!$L$77=TRUE,A25&lt;&gt;""),"PV enquête","")</f>
        <v/>
      </c>
      <c r="F26" s="384" t="str">
        <f>IF(AND(Demande!$L$77=TRUE,A25&lt;&gt;""),"Demande enquête publique","")</f>
        <v/>
      </c>
      <c r="G26" s="385"/>
      <c r="I26" s="198" t="s">
        <v>1011</v>
      </c>
      <c r="J26" s="198" t="s">
        <v>1012</v>
      </c>
      <c r="K26" s="205"/>
      <c r="L26" s="282" t="s">
        <v>46</v>
      </c>
      <c r="M26" s="89" t="e">
        <f t="shared" ref="M26:X26" si="0">M25+1</f>
        <v>#VALUE!</v>
      </c>
      <c r="N26" s="110" t="e">
        <f t="shared" si="0"/>
        <v>#VALUE!</v>
      </c>
      <c r="O26" s="90" t="e">
        <f t="shared" si="0"/>
        <v>#VALUE!</v>
      </c>
      <c r="P26" s="89" t="e">
        <f t="shared" si="0"/>
        <v>#VALUE!</v>
      </c>
      <c r="Q26" s="110" t="e">
        <f t="shared" si="0"/>
        <v>#VALUE!</v>
      </c>
      <c r="R26" s="90" t="e">
        <f t="shared" si="0"/>
        <v>#VALUE!</v>
      </c>
      <c r="S26" s="89" t="e">
        <f t="shared" si="0"/>
        <v>#VALUE!</v>
      </c>
      <c r="T26" s="110" t="e">
        <f t="shared" si="0"/>
        <v>#VALUE!</v>
      </c>
      <c r="U26" s="90" t="e">
        <f t="shared" si="0"/>
        <v>#VALUE!</v>
      </c>
      <c r="V26" s="89" t="e">
        <f t="shared" si="0"/>
        <v>#VALUE!</v>
      </c>
      <c r="W26" s="110" t="e">
        <f t="shared" si="0"/>
        <v>#VALUE!</v>
      </c>
      <c r="X26" s="90" t="e">
        <f t="shared" si="0"/>
        <v>#VALUE!</v>
      </c>
    </row>
    <row r="27" spans="1:24" ht="13.5" customHeight="1">
      <c r="A27" s="37" t="s">
        <v>34</v>
      </c>
      <c r="B27" s="41" t="str">
        <f>IF(AND(Demande!$L$77=TRUE,A25&lt;&gt;""),Demande!$M$18+Demande!$M$19,"")</f>
        <v/>
      </c>
      <c r="C27" s="41" t="str">
        <f>IF(AND(Demande!$L$77=TRUE,A25&lt;&gt;""),IF(OR(Demande!$L$83=3,Demande!$L$83=5,Demande!$L$83=6),IF(OR(Demande!$L$75=1,Demande!$L$76=TRUE),Demande!$M$16,Demande!$M$17)),"")</f>
        <v/>
      </c>
      <c r="D27" s="41" t="str">
        <f>IF(AND(Demande!$L$77=TRUE,A25&lt;&gt;""),Demande!$M$20,"")</f>
        <v/>
      </c>
      <c r="F27" s="149" t="str">
        <f>IF(AND(Demande!$L$77=TRUE,A25&lt;&gt;""),"Demande","")</f>
        <v/>
      </c>
      <c r="G27" s="140" t="str">
        <f>IF(AND(Demande!$L$77=TRUE,A25&lt;&gt;""),'Plans modif'!$G$15,"")</f>
        <v/>
      </c>
      <c r="I27" s="17" t="str">
        <f>IF('Plans modif'!$G$15&lt;&gt;"",DATE(YEAR(J27),7,16),"")</f>
        <v/>
      </c>
      <c r="J27" s="25" t="str">
        <f>IF('Plans modif'!$G$15&lt;&gt;"",IF(AND(G28&lt;&gt;"",B33=""),G28+Demande!$M$18+Demande!$M$19,IF(B33&lt;&gt;"",B33,B29)),"")</f>
        <v/>
      </c>
      <c r="K27" s="25" t="str">
        <f>IF(OR(AND(I29&lt;&gt;0,I29&lt;&gt;31),AND(I29=31,B29=I27)),I28+1,J27)</f>
        <v/>
      </c>
      <c r="L27" s="282" t="s">
        <v>49</v>
      </c>
      <c r="M27" s="89" t="e">
        <f>M25+39</f>
        <v>#VALUE!</v>
      </c>
      <c r="N27" s="110" t="e">
        <f>N25+39</f>
        <v>#VALUE!</v>
      </c>
      <c r="O27" s="90" t="e">
        <f>O25+39</f>
        <v>#VALUE!</v>
      </c>
      <c r="P27" s="89" t="e">
        <f t="shared" ref="P27:X27" si="1">P25+39</f>
        <v>#VALUE!</v>
      </c>
      <c r="Q27" s="110" t="e">
        <f t="shared" si="1"/>
        <v>#VALUE!</v>
      </c>
      <c r="R27" s="90" t="e">
        <f t="shared" si="1"/>
        <v>#VALUE!</v>
      </c>
      <c r="S27" s="89" t="e">
        <f t="shared" si="1"/>
        <v>#VALUE!</v>
      </c>
      <c r="T27" s="110" t="e">
        <f t="shared" si="1"/>
        <v>#VALUE!</v>
      </c>
      <c r="U27" s="90" t="e">
        <f t="shared" si="1"/>
        <v>#VALUE!</v>
      </c>
      <c r="V27" s="89" t="e">
        <f t="shared" si="1"/>
        <v>#VALUE!</v>
      </c>
      <c r="W27" s="110" t="e">
        <f t="shared" si="1"/>
        <v>#VALUE!</v>
      </c>
      <c r="X27" s="90" t="e">
        <f t="shared" si="1"/>
        <v>#VALUE!</v>
      </c>
    </row>
    <row r="28" spans="1:24" ht="13.5" customHeight="1">
      <c r="A28" s="37" t="s">
        <v>37</v>
      </c>
      <c r="B28" s="43" t="str">
        <f>IF(A25&lt;&gt;"",IF(OR(Demande!$L$83=3,Demande!$L$83=6),IF(B33&lt;&gt;"",B33-IF(G28&lt;&gt;"",G28,'Plans modif'!$G$15),""),""),"")</f>
        <v/>
      </c>
      <c r="C28" s="43" t="str">
        <f>IF(OR(Demande!$L$83=3,Demande!$L$83=6),IF(AND(B33&lt;&gt;"",C33&lt;&gt;""),C33-B33+1-P52-MAX(I29,I33),""),"")</f>
        <v/>
      </c>
      <c r="D28" s="43" t="str">
        <f>IF(Demande!$L$77=TRUE,IF('Plans modif'!$G$15&lt;&gt;"",IF(D32&lt;&gt;"",D32-C34,""),""),"")</f>
        <v/>
      </c>
      <c r="F28" s="149" t="str">
        <f>IF(AND(Demande!$L$77=TRUE,A25&lt;&gt;""),"Réception","")</f>
        <v/>
      </c>
      <c r="G28" s="56"/>
      <c r="I28" s="17" t="str">
        <f>IF('Plans modif'!$G$15&lt;&gt;"",I27+30,"")</f>
        <v/>
      </c>
      <c r="J28" s="25" t="str">
        <f>IF(B29&lt;&gt;"",Q55+P72,"")</f>
        <v/>
      </c>
      <c r="L28" s="282" t="s">
        <v>53</v>
      </c>
      <c r="M28" s="279" t="e">
        <f>M25+50</f>
        <v>#VALUE!</v>
      </c>
      <c r="N28" s="280" t="e">
        <f>N25+50</f>
        <v>#VALUE!</v>
      </c>
      <c r="O28" s="281" t="e">
        <f>O25+50</f>
        <v>#VALUE!</v>
      </c>
      <c r="P28" s="279" t="e">
        <f t="shared" ref="P28:X28" si="2">P25+50</f>
        <v>#VALUE!</v>
      </c>
      <c r="Q28" s="280" t="e">
        <f t="shared" si="2"/>
        <v>#VALUE!</v>
      </c>
      <c r="R28" s="281" t="e">
        <f t="shared" si="2"/>
        <v>#VALUE!</v>
      </c>
      <c r="S28" s="279" t="e">
        <f t="shared" si="2"/>
        <v>#VALUE!</v>
      </c>
      <c r="T28" s="280" t="e">
        <f t="shared" si="2"/>
        <v>#VALUE!</v>
      </c>
      <c r="U28" s="281" t="e">
        <f t="shared" si="2"/>
        <v>#VALUE!</v>
      </c>
      <c r="V28" s="279" t="e">
        <f t="shared" si="2"/>
        <v>#VALUE!</v>
      </c>
      <c r="W28" s="280" t="e">
        <f t="shared" si="2"/>
        <v>#VALUE!</v>
      </c>
      <c r="X28" s="281" t="e">
        <f t="shared" si="2"/>
        <v>#VALUE!</v>
      </c>
    </row>
    <row r="29" spans="1:24" ht="13.5" customHeight="1">
      <c r="A29" s="44" t="s">
        <v>40</v>
      </c>
      <c r="B29" s="46" t="str">
        <f>IF(A25&lt;&gt;"",IF(Demande!$G$20&lt;&gt;"",IF(OR(Demande!$L$83=3,Demande!$L$83=5,Demande!$L$83=6),IF(B34&lt;&gt;"",B34+Demande!$M$19,IF(G28&lt;&gt;"",G28+B27,Demande!$G$20+B27)),""),""),"")</f>
        <v/>
      </c>
      <c r="C29" s="46" t="str">
        <f>IF(A25&lt;&gt;"",IF(OR(Demande!$L$83=3,Demande!$L$83=6),IF(B29&lt;&gt;"",Q15+P32,""),""),"")</f>
        <v/>
      </c>
      <c r="D29" s="46" t="str">
        <f>IF(A25&lt;&gt;"",IF(B29&lt;&gt;"",IF(OR(Demande!$L$83=3,Demande!$L$83=6),C29+D27,""),""),"")</f>
        <v/>
      </c>
      <c r="I29" s="64">
        <f>IF('Plans modif'!$G$15&lt;&gt;"",IF(B29&lt;&gt;"",IF(AND(J27&lt;=I27,J28&gt;=I27),31,IF(AND(J27&gt;=I27,J28&lt;=I28),I28-J27+1,IF(AND(J27&gt;I27,J27&lt;=I28,J28&gt;=I28),I28-J27+1,0))),0),0)</f>
        <v>0</v>
      </c>
      <c r="J29" s="25" t="str">
        <f>IF(A25&lt;&gt;"",IF(Demande!$B$20&lt;&gt;"",IF(B33&lt;&gt;"",N35+M52,IF(B29&lt;&gt;"",N15+M32,""))),"")</f>
        <v/>
      </c>
      <c r="K29" s="322">
        <f>IF('Plans modif'!$G$15&lt;&gt;"",IF(B29&lt;&gt;"",IF(AND(B29&lt;=I27,J28&gt;=I27),31,IF(AND(B29&gt;=I27,J28&lt;=I28),I28-B29+1,IF(AND(B29&gt;I27,B29&lt;=I28,J28&gt;=I28),I28-B29+1,0))),0),0)</f>
        <v>0</v>
      </c>
      <c r="L29" s="47" t="s">
        <v>35</v>
      </c>
      <c r="M29" s="92" t="e">
        <f>IF(N15&lt;&gt;M26,IF(N15&lt;&gt;M27,IF(N15&lt;&gt;M28,0,1),1),1)</f>
        <v>#VALUE!</v>
      </c>
      <c r="N29" s="93" t="e">
        <f>IF(N15+1&lt;&gt;N26,IF(N15+1&lt;&gt;N27,IF(N15+1&lt;&gt;N28,0,1),1),1)</f>
        <v>#VALUE!</v>
      </c>
      <c r="O29" s="94" t="e">
        <f>IF(N15+2&lt;&gt;O26,IF(N15+2&lt;&gt;O27,IF(N15+2&lt;&gt;O28,0,1),1),1)</f>
        <v>#VALUE!</v>
      </c>
      <c r="P29" s="92" t="e">
        <f>IF(Q15&lt;&gt;P26,IF(Q15&lt;&gt;P27,IF(Q15&lt;&gt;P28,0,1),1),1)</f>
        <v>#VALUE!</v>
      </c>
      <c r="Q29" s="93" t="e">
        <f>IF(Q15+1&lt;&gt;Q26,IF(Q15+1&lt;&gt;Q27,IF(Q15+1&lt;&gt;Q28,0,1),1),1)</f>
        <v>#VALUE!</v>
      </c>
      <c r="R29" s="94" t="e">
        <f>IF(Q15+2&lt;&gt;R26,IF(Q15+2&lt;&gt;R27,IF(Q15+2&lt;&gt;R28,0,1),1),1)</f>
        <v>#VALUE!</v>
      </c>
      <c r="S29" s="92" t="e">
        <f>IF(T15&lt;&gt;S26,IF(T15&lt;&gt;S27,IF(T15&lt;&gt;S28,0,1),1),1)</f>
        <v>#VALUE!</v>
      </c>
      <c r="T29" s="93" t="e">
        <f>IF(T15+1&lt;&gt;T26,IF(T15+1&lt;&gt;T27,IF(T15+1&lt;&gt;T28,0,1),1),1)</f>
        <v>#VALUE!</v>
      </c>
      <c r="U29" s="94" t="e">
        <f>IF(T15+2&lt;&gt;U26,IF(T15+2&lt;&gt;U27,IF(T15+2&lt;&gt;U28,0,1),1),1)</f>
        <v>#VALUE!</v>
      </c>
      <c r="V29" s="92" t="e">
        <f>IF(W15&lt;&gt;V26,IF(W15&lt;&gt;V27,IF(W15&lt;&gt;V28,0,1),1),1)</f>
        <v>#VALUE!</v>
      </c>
      <c r="W29" s="93" t="e">
        <f>IF(W15+1&lt;&gt;W26,IF(W15+1&lt;&gt;W27,IF(W15+1&lt;&gt;W28,0,1),1),1)</f>
        <v>#VALUE!</v>
      </c>
      <c r="X29" s="94" t="e">
        <f>IF(W15+2&lt;&gt;X26,IF(W15+2&lt;&gt;X27,IF(W15+2&lt;&gt;X28,0,1),1),1)</f>
        <v>#VALUE!</v>
      </c>
    </row>
    <row r="30" spans="1:24" ht="13.5" customHeight="1">
      <c r="A30" s="37" t="s">
        <v>44</v>
      </c>
      <c r="B30" s="50" t="str">
        <f>IF(A25&lt;&gt;"",IF(Demande!$B$20&lt;&gt;"",IF(OR(Demande!$L$83=3,Demande!$L$83=6),IF(B33="",B29,IF(I33&lt;&gt;0,K31,IF(I29&lt;&gt;0,K27,B33))),""),""),"")</f>
        <v/>
      </c>
      <c r="C30" s="50" t="str">
        <f>IF(A25&lt;&gt;"",IF(OR(Demande!$L$83=3,Demande!$L$83=6),IF(Demande!$G$20&lt;&gt;"",J29,""),""),"")</f>
        <v/>
      </c>
      <c r="D30" s="50" t="str">
        <f>IF(A25&lt;&gt;"",IF(B30&lt;&gt;"",IF(Demande!$G$20&lt;&gt;"",IF(D32&lt;&gt;"",D32,C30+D27),""),""),"")</f>
        <v/>
      </c>
      <c r="F30" s="386" t="str">
        <f>IF(AND($J$3&gt;0,A25&lt;&gt;""),"Neutralisation de l'enquête","")</f>
        <v/>
      </c>
      <c r="G30" s="387"/>
      <c r="I30" s="1"/>
      <c r="J30" s="198" t="s">
        <v>1013</v>
      </c>
      <c r="K30" s="167"/>
      <c r="L30" s="47" t="s">
        <v>57</v>
      </c>
      <c r="M30" s="95" t="e">
        <f t="shared" ref="M30:X30" si="3">IF(OR(M24=1,M29=1),1,0)</f>
        <v>#VALUE!</v>
      </c>
      <c r="N30" s="96" t="e">
        <f t="shared" si="3"/>
        <v>#VALUE!</v>
      </c>
      <c r="O30" s="97" t="e">
        <f t="shared" si="3"/>
        <v>#VALUE!</v>
      </c>
      <c r="P30" s="95" t="e">
        <f t="shared" si="3"/>
        <v>#VALUE!</v>
      </c>
      <c r="Q30" s="96" t="e">
        <f t="shared" si="3"/>
        <v>#VALUE!</v>
      </c>
      <c r="R30" s="97" t="e">
        <f t="shared" si="3"/>
        <v>#VALUE!</v>
      </c>
      <c r="S30" s="95" t="e">
        <f t="shared" si="3"/>
        <v>#VALUE!</v>
      </c>
      <c r="T30" s="96" t="e">
        <f t="shared" si="3"/>
        <v>#VALUE!</v>
      </c>
      <c r="U30" s="97" t="e">
        <f t="shared" si="3"/>
        <v>#VALUE!</v>
      </c>
      <c r="V30" s="95" t="e">
        <f t="shared" si="3"/>
        <v>#VALUE!</v>
      </c>
      <c r="W30" s="96" t="e">
        <f t="shared" si="3"/>
        <v>#VALUE!</v>
      </c>
      <c r="X30" s="97" t="e">
        <f t="shared" si="3"/>
        <v>#VALUE!</v>
      </c>
    </row>
    <row r="31" spans="1:24" ht="13.5" customHeight="1">
      <c r="A31" s="4" t="s">
        <v>47</v>
      </c>
      <c r="B31" s="50" t="str">
        <f>TEXT(B30,"jjjj")</f>
        <v/>
      </c>
      <c r="C31" s="50" t="str">
        <f>TEXT(C30,"jjjj")</f>
        <v/>
      </c>
      <c r="D31" s="50" t="str">
        <f>TEXT(D30,"jjjj")</f>
        <v/>
      </c>
      <c r="F31" s="379" t="str">
        <f>IF($J$3&lt;&gt;0,IF(AND(Demande!$L$77=TRUE,A25&lt;&gt;""),CONCATENATE(MAX(I29,I33),IF(MAX(I29,I33)&lt;=1," jour"," jours")),""),"")</f>
        <v/>
      </c>
      <c r="G31" s="380"/>
      <c r="I31" s="17" t="str">
        <f>IF('Plans modif'!$G$15&lt;&gt;"",IF(B34&lt;&gt;"",DATE(YEAR(B34),12,24),IF(B29&lt;&gt;"",DATE(YEAR(B29-1),12,24),"")),"")</f>
        <v/>
      </c>
      <c r="J31" s="25" t="str">
        <f>IF('Plans modif'!$G$15&lt;&gt;"",IF(OR(Demande!$L$83=3,Demande!$L$83=6),IF(AND(J27&gt;=I31,J27&lt;=I32),I32+1,IF(B33&lt;&gt;"",B33,B29)),""),"")</f>
        <v/>
      </c>
      <c r="K31" s="25" t="str">
        <f>IF(AND(I33&lt;&gt;0,I33&lt;&gt;9),I32+1,J31)</f>
        <v/>
      </c>
      <c r="L31" s="282"/>
    </row>
    <row r="32" spans="1:24" ht="13.5" customHeight="1">
      <c r="B32" s="320" t="s">
        <v>1065</v>
      </c>
      <c r="C32" s="320" t="s">
        <v>1066</v>
      </c>
      <c r="D32" s="56"/>
      <c r="I32" s="17" t="str">
        <f>IF('Plans modif'!$G$15&lt;&gt;"",IF(B29&lt;&gt;"",I31+8,""),"")</f>
        <v/>
      </c>
      <c r="J32" s="199"/>
      <c r="L32" s="19" t="s">
        <v>63</v>
      </c>
      <c r="M32" s="101" t="e">
        <f>IF(AND(O15&lt;&gt;"samedi",O15&lt;&gt;"dimanche"),IF(AND(M30=1,O15="vendredi"),3,IF(AND(M30=1,O15="samedi"),2,IF(M30=1,1,0))),IF(AND(O15="samedi",O30=1),3,IF(O15="samedi",2,IF(AND(O15="dimanche",N30=1),2,1))))</f>
        <v>#VALUE!</v>
      </c>
      <c r="N32" s="277"/>
      <c r="O32" s="277"/>
      <c r="P32" s="101" t="e">
        <f>IF(AND(R15&lt;&gt;"samedi",R15&lt;&gt;"dimanche"),IF(AND(P30=1,R15="vendredi"),3,IF(AND(P30=1,R15="samedi"),2,IF(P30=1,1,0))),IF(AND(R15="samedi",R30=1),3,IF(R15="samedi",2,IF(AND(R15="dimanche",Q30=1),2,1))))</f>
        <v>#VALUE!</v>
      </c>
      <c r="Q32" s="277"/>
      <c r="R32" s="277"/>
      <c r="S32" s="101" t="e">
        <f>IF(AND(U15&lt;&gt;"samedi",U15&lt;&gt;"dimanche"),IF(AND(S30=1,U15="vendredi"),3,IF(AND(S30=1,U15="samedi"),2,IF(S30=1,1,0))),IF(AND(U15="samedi",U30=1),3,IF(U15="samedi",2,IF(AND(U15="dimanche",T30=1),2,1))))</f>
        <v>#VALUE!</v>
      </c>
      <c r="T32" s="277"/>
      <c r="U32" s="277"/>
      <c r="V32" s="101" t="e">
        <f>IF(AND(X15&lt;&gt;"samedi",X15&lt;&gt;"dimanche"),IF(AND(V30=1,X15="vendredi"),3,IF(AND(V30=1,X15="samedi"),2,IF(V30=1,1,0))),IF(AND(X15="samedi",X30=1),3,IF(X15="samedi",2,IF(AND(X15="dimanche",W30=1),2,1))))</f>
        <v>#VALUE!</v>
      </c>
      <c r="W32" s="277"/>
      <c r="X32" s="277"/>
    </row>
    <row r="33" spans="1:24" ht="13.5" customHeight="1">
      <c r="A33" s="319" t="s">
        <v>1051</v>
      </c>
      <c r="B33" s="56"/>
      <c r="C33" s="56"/>
      <c r="D33" s="275"/>
      <c r="I33" s="64">
        <f>IF('Plans modif'!$G$15&lt;&gt;"",IF(B29&lt;&gt;"",IF(AND(J27&lt;=I31,J28&gt;=I31),9,IF(AND(J27&gt;=I31,J28&lt;=I32),I32-J27+1,IF(AND(J27&gt;I31,J27&lt;=I32,J28&gt;=I32),I32-J27+1,0))),0),0)</f>
        <v>0</v>
      </c>
      <c r="J33" s="25"/>
      <c r="K33" s="322">
        <f>IF('Plans modif'!$G$15&lt;&gt;"",IF(B29&lt;&gt;"",IF(AND(B29&lt;=I31,J28&gt;=I31),9,IF(AND(B29&gt;=I31,J28&lt;=I32),I32-B29+1,IF(AND(B29&gt;I31,B29&lt;=I32,J28&gt;=I32),I32-B29+1,0))),0),0)</f>
        <v>0</v>
      </c>
    </row>
    <row r="34" spans="1:24" ht="13.5" customHeight="1">
      <c r="A34" s="319" t="s">
        <v>1067</v>
      </c>
      <c r="B34" s="56"/>
      <c r="C34" s="56"/>
      <c r="D34" s="261"/>
      <c r="E34" s="261"/>
      <c r="F34" s="261"/>
      <c r="G34" s="261"/>
      <c r="H34" s="261"/>
      <c r="I34" s="261"/>
      <c r="J34" s="261"/>
      <c r="K34" s="261"/>
      <c r="M34" s="81" t="s">
        <v>1074</v>
      </c>
      <c r="N34" s="81"/>
      <c r="O34" s="81"/>
      <c r="P34" s="81" t="s">
        <v>1075</v>
      </c>
      <c r="Q34" s="81"/>
      <c r="R34" s="81"/>
      <c r="S34" s="81" t="s">
        <v>1076</v>
      </c>
      <c r="T34" s="81"/>
      <c r="U34" s="81"/>
      <c r="V34" s="81" t="s">
        <v>1077</v>
      </c>
      <c r="W34" s="81"/>
      <c r="X34" s="81"/>
    </row>
    <row r="35" spans="1:24" ht="13.5" customHeight="1">
      <c r="M35" s="34" t="s">
        <v>81</v>
      </c>
      <c r="N35" s="25" t="str">
        <f>IF('Plans modif'!$G$15&lt;&gt;"",IF(B17&lt;&gt;"",IF(B21&lt;&gt;"",B21+C15+MAX(I17,I21)-1,""),""),"")</f>
        <v/>
      </c>
      <c r="O35" s="83" t="str">
        <f>TEXT(N35,"jjjj")</f>
        <v/>
      </c>
      <c r="P35" s="34" t="s">
        <v>81</v>
      </c>
      <c r="Q35" s="25" t="str">
        <f>IF('Plans modif'!$G$15&lt;&gt;"",IF(B29&lt;&gt;"",IF(B33&lt;&gt;"",B33+C27+MAX(I29,I33)-1,""),""),"")</f>
        <v/>
      </c>
      <c r="R35" s="83" t="str">
        <f>TEXT(Q35,"jjjj")</f>
        <v/>
      </c>
      <c r="S35" s="34" t="s">
        <v>81</v>
      </c>
      <c r="T35" s="25" t="str">
        <f>IF('Plans modif'!$G$15&lt;&gt;"",IF(B41&lt;&gt;"",IF(B45&lt;&gt;"",B45+C39+MAX(I41,I45)-1,""),""),"")</f>
        <v/>
      </c>
      <c r="U35" s="83" t="str">
        <f>TEXT(T35,"jjjj")</f>
        <v/>
      </c>
      <c r="V35" s="34" t="s">
        <v>81</v>
      </c>
      <c r="W35" s="25" t="str">
        <f>IF('Plans modif'!$G$15&lt;&gt;"",IF(B53&lt;&gt;"",IF(B57&lt;&gt;"",B57+C51+MAX(I53,I57)-1,""),""),"")</f>
        <v/>
      </c>
      <c r="X35" s="83" t="str">
        <f>TEXT(W35,"jjjj")</f>
        <v/>
      </c>
    </row>
    <row r="36" spans="1:24" ht="13.5" customHeight="1">
      <c r="M36" s="85" t="s">
        <v>24</v>
      </c>
      <c r="N36" s="85" t="s">
        <v>25</v>
      </c>
      <c r="O36" s="85" t="s">
        <v>26</v>
      </c>
      <c r="P36" s="85" t="s">
        <v>24</v>
      </c>
      <c r="Q36" s="85" t="s">
        <v>25</v>
      </c>
      <c r="R36" s="85" t="s">
        <v>26</v>
      </c>
      <c r="S36" s="85" t="s">
        <v>24</v>
      </c>
      <c r="T36" s="85" t="s">
        <v>25</v>
      </c>
      <c r="U36" s="85" t="s">
        <v>26</v>
      </c>
      <c r="V36" s="85" t="s">
        <v>24</v>
      </c>
      <c r="W36" s="85" t="s">
        <v>25</v>
      </c>
      <c r="X36" s="85" t="s">
        <v>26</v>
      </c>
    </row>
    <row r="37" spans="1:24" ht="13.5" customHeight="1">
      <c r="A37" s="3"/>
      <c r="B37" s="381" t="s">
        <v>1057</v>
      </c>
      <c r="C37" s="382"/>
      <c r="D37" s="383"/>
      <c r="L37" s="283">
        <v>37257</v>
      </c>
      <c r="M37" s="89" t="e">
        <f>DATE(YEAR(N35),1,1)</f>
        <v>#VALUE!</v>
      </c>
      <c r="N37" s="82" t="e">
        <f>DATE(YEAR(N35+1),1,1)</f>
        <v>#VALUE!</v>
      </c>
      <c r="O37" s="90" t="e">
        <f>DATE(YEAR(N35+2),1,1)</f>
        <v>#VALUE!</v>
      </c>
      <c r="P37" s="89" t="e">
        <f>DATE(YEAR(Q35),1,1)</f>
        <v>#VALUE!</v>
      </c>
      <c r="Q37" s="82" t="e">
        <f>DATE(YEAR(Q35+1),1,1)</f>
        <v>#VALUE!</v>
      </c>
      <c r="R37" s="90" t="e">
        <f>DATE(YEAR(Q35+2),1,1)</f>
        <v>#VALUE!</v>
      </c>
      <c r="S37" s="89" t="e">
        <f>DATE(YEAR(T35),1,1)</f>
        <v>#VALUE!</v>
      </c>
      <c r="T37" s="82" t="e">
        <f>DATE(YEAR(T35+1),1,1)</f>
        <v>#VALUE!</v>
      </c>
      <c r="U37" s="90" t="e">
        <f>DATE(YEAR(T35+2),1,1)</f>
        <v>#VALUE!</v>
      </c>
      <c r="V37" s="89" t="e">
        <f>DATE(YEAR(W35),1,1)</f>
        <v>#VALUE!</v>
      </c>
      <c r="W37" s="82" t="e">
        <f>DATE(YEAR(W35+1),1,1)</f>
        <v>#VALUE!</v>
      </c>
      <c r="X37" s="90" t="e">
        <f>DATE(YEAR(W35+2),1,1)</f>
        <v>#VALUE!</v>
      </c>
    </row>
    <row r="38" spans="1:24" ht="13.5" customHeight="1">
      <c r="A38" s="37"/>
      <c r="B38" s="161" t="str">
        <f>IF(AND(Demande!$L$77=TRUE,A37&lt;&gt;""),"Début enquête","")</f>
        <v/>
      </c>
      <c r="C38" s="161" t="str">
        <f>IF(AND(Demande!$L$77=TRUE,A37&lt;&gt;""),"Fin enquête","")</f>
        <v/>
      </c>
      <c r="D38" s="161" t="str">
        <f>IF(AND(Demande!$L$77=TRUE,A37&lt;&gt;""),"PV enquête","")</f>
        <v/>
      </c>
      <c r="F38" s="384" t="str">
        <f>IF(AND(Demande!$L$77=TRUE,A37&lt;&gt;""),"Demande enquête publique","")</f>
        <v/>
      </c>
      <c r="G38" s="385"/>
      <c r="I38" s="198" t="s">
        <v>1011</v>
      </c>
      <c r="J38" s="198" t="s">
        <v>1012</v>
      </c>
      <c r="K38" s="205"/>
      <c r="L38" s="283">
        <v>37377</v>
      </c>
      <c r="M38" s="89" t="e">
        <f>DATE(YEAR(N35),5,1)</f>
        <v>#VALUE!</v>
      </c>
      <c r="N38" s="82" t="e">
        <f>DATE(YEAR(N35+1),5,1)</f>
        <v>#VALUE!</v>
      </c>
      <c r="O38" s="90" t="e">
        <f>DATE(YEAR(N35+2),5,1)</f>
        <v>#VALUE!</v>
      </c>
      <c r="P38" s="89" t="e">
        <f>DATE(YEAR(Q35),5,1)</f>
        <v>#VALUE!</v>
      </c>
      <c r="Q38" s="82" t="e">
        <f>DATE(YEAR(Q35+1),5,1)</f>
        <v>#VALUE!</v>
      </c>
      <c r="R38" s="90" t="e">
        <f>DATE(YEAR(Q35+2),5,1)</f>
        <v>#VALUE!</v>
      </c>
      <c r="S38" s="89" t="e">
        <f>DATE(YEAR(T35),5,1)</f>
        <v>#VALUE!</v>
      </c>
      <c r="T38" s="82" t="e">
        <f>DATE(YEAR(T35+1),5,1)</f>
        <v>#VALUE!</v>
      </c>
      <c r="U38" s="90" t="e">
        <f>DATE(YEAR(T35+2),5,1)</f>
        <v>#VALUE!</v>
      </c>
      <c r="V38" s="89" t="e">
        <f>DATE(YEAR(W35),5,1)</f>
        <v>#VALUE!</v>
      </c>
      <c r="W38" s="82" t="e">
        <f>DATE(YEAR(W35+1),5,1)</f>
        <v>#VALUE!</v>
      </c>
      <c r="X38" s="90" t="e">
        <f>DATE(YEAR(W35+2),5,1)</f>
        <v>#VALUE!</v>
      </c>
    </row>
    <row r="39" spans="1:24" ht="13.5" customHeight="1">
      <c r="A39" s="37" t="s">
        <v>34</v>
      </c>
      <c r="B39" s="41" t="str">
        <f>IF(AND(Demande!$L$77=TRUE,A37&lt;&gt;""),Demande!$M$18+Demande!$M$19,"")</f>
        <v/>
      </c>
      <c r="C39" s="41" t="str">
        <f>IF(AND(Demande!$L$77=TRUE,A37&lt;&gt;""),IF(OR(Demande!$L$83=3,Demande!$L$83=5,Demande!$L$83=6),IF(OR(Demande!$L$75=1,Demande!$L$76=TRUE),Demande!$M$16,Demande!$M$17)),"")</f>
        <v/>
      </c>
      <c r="D39" s="41" t="str">
        <f>IF(AND(Demande!$L$77=TRUE,A37&lt;&gt;""),Demande!$M$20,"")</f>
        <v/>
      </c>
      <c r="F39" s="149" t="str">
        <f>IF(AND(Demande!$L$77=TRUE,A37&lt;&gt;""),"Demande","")</f>
        <v/>
      </c>
      <c r="G39" s="140" t="str">
        <f>IF(AND(Demande!$L$77=TRUE,A37&lt;&gt;""),'Plans modif'!$G$15,"")</f>
        <v/>
      </c>
      <c r="I39" s="17" t="str">
        <f>IF('Plans modif'!$G$15&lt;&gt;"",DATE(YEAR(J39),7,16),"")</f>
        <v/>
      </c>
      <c r="J39" s="25" t="str">
        <f>IF('Plans modif'!$G$15&lt;&gt;"",IF(AND(G40&lt;&gt;"",B45=""),G40+Demande!$M$18+Demande!$M$19,IF(B45&lt;&gt;"",B45,B41)),"")</f>
        <v/>
      </c>
      <c r="K39" s="25" t="str">
        <f>IF(OR(AND(I41&lt;&gt;0,I41&lt;&gt;31),AND(I41=31,B41=I39)),I40+1,J39)</f>
        <v/>
      </c>
      <c r="L39" s="283">
        <v>37458</v>
      </c>
      <c r="M39" s="89" t="e">
        <f>DATE(YEAR(N35),7,21)</f>
        <v>#VALUE!</v>
      </c>
      <c r="N39" s="82" t="e">
        <f>DATE(YEAR(N35+1),7,21)</f>
        <v>#VALUE!</v>
      </c>
      <c r="O39" s="90" t="e">
        <f>DATE(YEAR(N35+2),7,21)</f>
        <v>#VALUE!</v>
      </c>
      <c r="P39" s="89" t="e">
        <f>DATE(YEAR(Q35),7,21)</f>
        <v>#VALUE!</v>
      </c>
      <c r="Q39" s="82" t="e">
        <f>DATE(YEAR(Q35+1),7,21)</f>
        <v>#VALUE!</v>
      </c>
      <c r="R39" s="90" t="e">
        <f>DATE(YEAR(Q35+2),7,21)</f>
        <v>#VALUE!</v>
      </c>
      <c r="S39" s="89" t="e">
        <f>DATE(YEAR(T35),7,21)</f>
        <v>#VALUE!</v>
      </c>
      <c r="T39" s="82" t="e">
        <f>DATE(YEAR(T35+1),7,21)</f>
        <v>#VALUE!</v>
      </c>
      <c r="U39" s="90" t="e">
        <f>DATE(YEAR(T35+2),7,21)</f>
        <v>#VALUE!</v>
      </c>
      <c r="V39" s="89" t="e">
        <f>DATE(YEAR(W35),7,21)</f>
        <v>#VALUE!</v>
      </c>
      <c r="W39" s="82" t="e">
        <f>DATE(YEAR(W35+1),7,21)</f>
        <v>#VALUE!</v>
      </c>
      <c r="X39" s="90" t="e">
        <f>DATE(YEAR(W35+2),7,21)</f>
        <v>#VALUE!</v>
      </c>
    </row>
    <row r="40" spans="1:24" ht="13.5" customHeight="1">
      <c r="A40" s="37" t="s">
        <v>37</v>
      </c>
      <c r="B40" s="43" t="str">
        <f>IF(A37&lt;&gt;"",IF(OR(Demande!$L$83=3,Demande!$L$83=6),IF(B45&lt;&gt;"",B45-IF(G40&lt;&gt;"",G40,'Plans modif'!$G$15),""),""),"")</f>
        <v/>
      </c>
      <c r="C40" s="43" t="str">
        <f>IF(OR(Demande!$L$83=3,Demande!$L$83=6),IF(AND(B45&lt;&gt;"",C45&lt;&gt;""),C45-B45+1-S52-MAX(I41,I45),""),"")</f>
        <v/>
      </c>
      <c r="D40" s="43" t="str">
        <f>IF(Demande!$L$77=TRUE,IF('Plans modif'!$G$15&lt;&gt;"",IF(D44&lt;&gt;"",D44-C46,""),""),"")</f>
        <v/>
      </c>
      <c r="F40" s="149" t="str">
        <f>IF(AND(Demande!$L$77=TRUE,A37&lt;&gt;""),"Réception","")</f>
        <v/>
      </c>
      <c r="G40" s="56"/>
      <c r="I40" s="17" t="str">
        <f>IF('Plans modif'!$G$15&lt;&gt;"",I39+30,"")</f>
        <v/>
      </c>
      <c r="J40" s="25" t="str">
        <f>IF(B41&lt;&gt;"",T55+S72,"")</f>
        <v/>
      </c>
      <c r="L40" s="283">
        <v>37483</v>
      </c>
      <c r="M40" s="89" t="e">
        <f>DATE(YEAR(N35),8,15)</f>
        <v>#VALUE!</v>
      </c>
      <c r="N40" s="82" t="e">
        <f>DATE(YEAR(N35+1),8,15)</f>
        <v>#VALUE!</v>
      </c>
      <c r="O40" s="90" t="e">
        <f>DATE(YEAR(N35+2),8,15)</f>
        <v>#VALUE!</v>
      </c>
      <c r="P40" s="89" t="e">
        <f>DATE(YEAR(Q35),8,15)</f>
        <v>#VALUE!</v>
      </c>
      <c r="Q40" s="82" t="e">
        <f>DATE(YEAR(Q35+1),8,15)</f>
        <v>#VALUE!</v>
      </c>
      <c r="R40" s="90" t="e">
        <f>DATE(YEAR(Q35+2),8,15)</f>
        <v>#VALUE!</v>
      </c>
      <c r="S40" s="89" t="e">
        <f>DATE(YEAR(T35),8,15)</f>
        <v>#VALUE!</v>
      </c>
      <c r="T40" s="82" t="e">
        <f>DATE(YEAR(T35+1),8,15)</f>
        <v>#VALUE!</v>
      </c>
      <c r="U40" s="90" t="e">
        <f>DATE(YEAR(T35+2),8,15)</f>
        <v>#VALUE!</v>
      </c>
      <c r="V40" s="89" t="e">
        <f>DATE(YEAR(W35),8,15)</f>
        <v>#VALUE!</v>
      </c>
      <c r="W40" s="82" t="e">
        <f>DATE(YEAR(W35+1),8,15)</f>
        <v>#VALUE!</v>
      </c>
      <c r="X40" s="90" t="e">
        <f>DATE(YEAR(W35+2),8,15)</f>
        <v>#VALUE!</v>
      </c>
    </row>
    <row r="41" spans="1:24" ht="13.5" customHeight="1">
      <c r="A41" s="44" t="s">
        <v>40</v>
      </c>
      <c r="B41" s="46" t="str">
        <f>IF(A37&lt;&gt;"",IF(Demande!$G$20&lt;&gt;"",IF(OR(Demande!$L$83=3,Demande!$L$83=5,Demande!$L$83=6),IF(B46&lt;&gt;"",B46+Demande!$M$19,IF(G40&lt;&gt;"",G40+B39,Demande!$G$20+B39)),""),""),"")</f>
        <v/>
      </c>
      <c r="C41" s="46" t="str">
        <f>IF(A37&lt;&gt;"",IF(OR(Demande!$L$83=3,Demande!$L$83=6),IF(B41&lt;&gt;"",T15+S32,""),""),"")</f>
        <v/>
      </c>
      <c r="D41" s="46" t="str">
        <f>IF(A37&lt;&gt;"",IF(B41&lt;&gt;"",IF(OR(Demande!$L$83=3,Demande!$L$83=6),C41+D39,""),""),"")</f>
        <v/>
      </c>
      <c r="I41" s="64">
        <f>IF('Plans modif'!$G$15&lt;&gt;"",IF(B41&lt;&gt;"",IF(AND(J39&lt;=I39,J40&gt;=I39),31,IF(AND(J39&gt;=I39,J40&lt;=I40),I40-J39+1,IF(AND(J39&gt;I39,J39&lt;=I40,J40&gt;=I40),I40-J39+1,0))),0),0)</f>
        <v>0</v>
      </c>
      <c r="J41" s="25" t="str">
        <f>IF(A37&lt;&gt;"",IF(Demande!$B$20&lt;&gt;"",IF(B45&lt;&gt;"",T35+S52,IF(B41&lt;&gt;"",T15+S32,""))),"")</f>
        <v/>
      </c>
      <c r="K41" s="322">
        <f>IF('Plans modif'!$G$15&lt;&gt;"",IF(B41&lt;&gt;"",IF(AND(B41&lt;=I39,J40&gt;=I39),31,IF(AND(B41&gt;=I39,J40&lt;=I40),I40-B41+1,IF(AND(B41&gt;I39,B41&lt;=I40,J40&gt;=I40),I40-B41+1,0))),0),0)</f>
        <v>0</v>
      </c>
      <c r="L41" s="283">
        <v>37561</v>
      </c>
      <c r="M41" s="89" t="e">
        <f>DATE(YEAR(N35),11,1)</f>
        <v>#VALUE!</v>
      </c>
      <c r="N41" s="82" t="e">
        <f>DATE(YEAR(N35+1),11,1)</f>
        <v>#VALUE!</v>
      </c>
      <c r="O41" s="90" t="e">
        <f>DATE(YEAR(N35+2),11,1)</f>
        <v>#VALUE!</v>
      </c>
      <c r="P41" s="89" t="e">
        <f>DATE(YEAR(Q35),11,1)</f>
        <v>#VALUE!</v>
      </c>
      <c r="Q41" s="82" t="e">
        <f>DATE(YEAR(Q35+1),11,1)</f>
        <v>#VALUE!</v>
      </c>
      <c r="R41" s="90" t="e">
        <f>DATE(YEAR(Q35+2),11,1)</f>
        <v>#VALUE!</v>
      </c>
      <c r="S41" s="89" t="e">
        <f>DATE(YEAR(T35),11,1)</f>
        <v>#VALUE!</v>
      </c>
      <c r="T41" s="82" t="e">
        <f>DATE(YEAR(T35+1),11,1)</f>
        <v>#VALUE!</v>
      </c>
      <c r="U41" s="90" t="e">
        <f>DATE(YEAR(T35+2),11,1)</f>
        <v>#VALUE!</v>
      </c>
      <c r="V41" s="89" t="e">
        <f>DATE(YEAR(W35),11,1)</f>
        <v>#VALUE!</v>
      </c>
      <c r="W41" s="82" t="e">
        <f>DATE(YEAR(W35+1),11,1)</f>
        <v>#VALUE!</v>
      </c>
      <c r="X41" s="90" t="e">
        <f>DATE(YEAR(W35+2),11,1)</f>
        <v>#VALUE!</v>
      </c>
    </row>
    <row r="42" spans="1:24" ht="13.5" customHeight="1">
      <c r="A42" s="37" t="s">
        <v>44</v>
      </c>
      <c r="B42" s="50" t="str">
        <f>IF(A37&lt;&gt;"",IF(Demande!$B$20&lt;&gt;"",IF(OR(Demande!$L$83=3,Demande!$L$83=6),IF(B45="",B41,IF(I45&lt;&gt;0,K43,IF(I41&lt;&gt;0,K39,B45))),""),""),"")</f>
        <v/>
      </c>
      <c r="C42" s="50" t="str">
        <f>IF(A37&lt;&gt;"",IF(OR(Demande!$L$83=3,Demande!$L$83=6),IF(Demande!$G$20&lt;&gt;"",J41,""),""),"")</f>
        <v/>
      </c>
      <c r="D42" s="50" t="str">
        <f>IF(A37&lt;&gt;"",IF(B42&lt;&gt;"",IF(Demande!$G$20&lt;&gt;"",IF(D44&lt;&gt;"",D44,C42+D39),""),""),"")</f>
        <v/>
      </c>
      <c r="F42" s="386" t="str">
        <f>IF(AND($J$3&gt;0,A37&lt;&gt;""),"Neutralisation de l'enquête","")</f>
        <v/>
      </c>
      <c r="G42" s="387"/>
      <c r="I42" s="1"/>
      <c r="J42" s="198" t="s">
        <v>1013</v>
      </c>
      <c r="K42" s="167"/>
      <c r="L42" s="283">
        <v>37571</v>
      </c>
      <c r="M42" s="89" t="e">
        <f>DATE(YEAR(N35),11,11)</f>
        <v>#VALUE!</v>
      </c>
      <c r="N42" s="82" t="e">
        <f>DATE(YEAR(N35+1),11,11)</f>
        <v>#VALUE!</v>
      </c>
      <c r="O42" s="90" t="e">
        <f>DATE(YEAR(N35+2),11,11)</f>
        <v>#VALUE!</v>
      </c>
      <c r="P42" s="89" t="e">
        <f>DATE(YEAR(Q35),11,11)</f>
        <v>#VALUE!</v>
      </c>
      <c r="Q42" s="82" t="e">
        <f>DATE(YEAR(Q35+1),11,11)</f>
        <v>#VALUE!</v>
      </c>
      <c r="R42" s="90" t="e">
        <f>DATE(YEAR(Q35+2),11,11)</f>
        <v>#VALUE!</v>
      </c>
      <c r="S42" s="89" t="e">
        <f>DATE(YEAR(T35),11,11)</f>
        <v>#VALUE!</v>
      </c>
      <c r="T42" s="82" t="e">
        <f>DATE(YEAR(T35+1),11,11)</f>
        <v>#VALUE!</v>
      </c>
      <c r="U42" s="90" t="e">
        <f>DATE(YEAR(T35+2),11,11)</f>
        <v>#VALUE!</v>
      </c>
      <c r="V42" s="89" t="e">
        <f>DATE(YEAR(W35),11,11)</f>
        <v>#VALUE!</v>
      </c>
      <c r="W42" s="82" t="e">
        <f>DATE(YEAR(W35+1),11,11)</f>
        <v>#VALUE!</v>
      </c>
      <c r="X42" s="90" t="e">
        <f>DATE(YEAR(W35+2),11,11)</f>
        <v>#VALUE!</v>
      </c>
    </row>
    <row r="43" spans="1:24" ht="13.5" customHeight="1">
      <c r="A43" s="4" t="s">
        <v>47</v>
      </c>
      <c r="B43" s="50" t="str">
        <f>TEXT(B42,"jjjj")</f>
        <v/>
      </c>
      <c r="C43" s="50" t="str">
        <f>TEXT(C42,"jjjj")</f>
        <v/>
      </c>
      <c r="D43" s="50" t="str">
        <f>TEXT(D42,"jjjj")</f>
        <v/>
      </c>
      <c r="F43" s="379" t="str">
        <f>IF($J$3&lt;&gt;0,IF(AND(Demande!$L$77=TRUE,A37&lt;&gt;""),CONCATENATE(MAX(I41,I45),IF(MAX(I41,I45)&lt;=1," jour"," jours")),""),"")</f>
        <v/>
      </c>
      <c r="G43" s="380"/>
      <c r="I43" s="17" t="str">
        <f>IF('Plans modif'!$G$15&lt;&gt;"",IF(B46&lt;&gt;"",DATE(YEAR(B46),12,24),IF(B41&lt;&gt;"",DATE(YEAR(B41-1),12,24),"")),"")</f>
        <v/>
      </c>
      <c r="J43" s="25" t="str">
        <f>IF('Plans modif'!$G$15&lt;&gt;"",IF(OR(Demande!$L$83=3,Demande!$L$83=6),IF(AND(J39&gt;=I43,J39&lt;=I44),I44+1,IF(B45&lt;&gt;"",B45,B41)),""),"")</f>
        <v/>
      </c>
      <c r="K43" s="25" t="str">
        <f>IF(AND(I45&lt;&gt;0,I45&lt;&gt;9),I44+1,J43)</f>
        <v/>
      </c>
      <c r="L43" s="283">
        <v>37615</v>
      </c>
      <c r="M43" s="89" t="e">
        <f>DATE(YEAR(N35),12,25)</f>
        <v>#VALUE!</v>
      </c>
      <c r="N43" s="82" t="e">
        <f>DATE(YEAR(N35+1),12,25)</f>
        <v>#VALUE!</v>
      </c>
      <c r="O43" s="90" t="e">
        <f>DATE(YEAR(N35+2),12,25)</f>
        <v>#VALUE!</v>
      </c>
      <c r="P43" s="89" t="e">
        <f>DATE(YEAR(Q35),12,25)</f>
        <v>#VALUE!</v>
      </c>
      <c r="Q43" s="82" t="e">
        <f>DATE(YEAR(Q35+1),12,25)</f>
        <v>#VALUE!</v>
      </c>
      <c r="R43" s="90" t="e">
        <f>DATE(YEAR(Q35+2),12,25)</f>
        <v>#VALUE!</v>
      </c>
      <c r="S43" s="89" t="e">
        <f>DATE(YEAR(T35),12,25)</f>
        <v>#VALUE!</v>
      </c>
      <c r="T43" s="82" t="e">
        <f>DATE(YEAR(T35+1),12,25)</f>
        <v>#VALUE!</v>
      </c>
      <c r="U43" s="90" t="e">
        <f>DATE(YEAR(T35+2),12,25)</f>
        <v>#VALUE!</v>
      </c>
      <c r="V43" s="89" t="e">
        <f>DATE(YEAR(W35),12,25)</f>
        <v>#VALUE!</v>
      </c>
      <c r="W43" s="82" t="e">
        <f>DATE(YEAR(W35+1),12,25)</f>
        <v>#VALUE!</v>
      </c>
      <c r="X43" s="90" t="e">
        <f>DATE(YEAR(W35+2),12,25)</f>
        <v>#VALUE!</v>
      </c>
    </row>
    <row r="44" spans="1:24" ht="13.5" customHeight="1">
      <c r="B44" s="320" t="s">
        <v>1065</v>
      </c>
      <c r="C44" s="320" t="s">
        <v>1066</v>
      </c>
      <c r="D44" s="56"/>
      <c r="I44" s="17" t="str">
        <f>IF('Plans modif'!$G$15&lt;&gt;"",IF(B41&lt;&gt;"",I43+8,""),"")</f>
        <v/>
      </c>
      <c r="J44" s="199"/>
      <c r="L44" s="47" t="s">
        <v>43</v>
      </c>
      <c r="M44" s="92" t="e">
        <f>IF(N35&lt;&gt;M37,IF(N35&lt;&gt;M38,IF(N35&lt;&gt;M39,IF(N35&lt;&gt;M40,IF(N35&lt;&gt;M41,IF(N35&lt;&gt;M42,IF(N35&lt;&gt;M43,0,1),1),1),1),1),1),1)</f>
        <v>#VALUE!</v>
      </c>
      <c r="N44" s="93" t="e">
        <f>IF(N35+1&lt;&gt;N37,IF(N35+1&lt;&gt;N38,IF(N35+1&lt;&gt;N39,IF(N35+1&lt;&gt;N40,IF(N35+1&lt;&gt;N41,IF(N35+1&lt;&gt;N42,IF(N35+1&lt;&gt;N43,0,1),1),1),1),1),1),1)</f>
        <v>#VALUE!</v>
      </c>
      <c r="O44" s="94" t="e">
        <f>IF(N35+2&lt;&gt;O37,IF(N35+2&lt;&gt;O38,IF(N35+2&lt;&gt;O39,IF(N35+2&lt;&gt;O40,IF(N35+2&lt;&gt;O41,IF(N35+2&lt;&gt;O42,IF(N35+2&lt;&gt;O43,0,1),1),1),1),1),1),1)</f>
        <v>#VALUE!</v>
      </c>
      <c r="P44" s="92" t="e">
        <f>IF(Q35&lt;&gt;P37,IF(Q35&lt;&gt;P38,IF(Q35&lt;&gt;P39,IF(Q35&lt;&gt;P40,IF(Q35&lt;&gt;P41,IF(Q35&lt;&gt;P42,IF(Q35&lt;&gt;P43,0,1),1),1),1),1),1),1)</f>
        <v>#VALUE!</v>
      </c>
      <c r="Q44" s="93" t="e">
        <f>IF(Q35+1&lt;&gt;Q37,IF(Q35+1&lt;&gt;Q38,IF(Q35+1&lt;&gt;Q39,IF(Q35+1&lt;&gt;Q40,IF(Q35+1&lt;&gt;Q41,IF(Q35+1&lt;&gt;Q42,IF(Q35+1&lt;&gt;Q43,0,1),1),1),1),1),1),1)</f>
        <v>#VALUE!</v>
      </c>
      <c r="R44" s="94" t="e">
        <f>IF(Q35+2&lt;&gt;R37,IF(Q35+2&lt;&gt;R38,IF(Q35+2&lt;&gt;R39,IF(Q35+2&lt;&gt;R40,IF(Q35+2&lt;&gt;R41,IF(Q35+2&lt;&gt;R42,IF(Q35+2&lt;&gt;R43,0,1),1),1),1),1),1),1)</f>
        <v>#VALUE!</v>
      </c>
      <c r="S44" s="92" t="e">
        <f>IF(T35&lt;&gt;S37,IF(T35&lt;&gt;S38,IF(T35&lt;&gt;S39,IF(T35&lt;&gt;S40,IF(T35&lt;&gt;S41,IF(T35&lt;&gt;S42,IF(T35&lt;&gt;S43,0,1),1),1),1),1),1),1)</f>
        <v>#VALUE!</v>
      </c>
      <c r="T44" s="93" t="e">
        <f>IF(T35+1&lt;&gt;T37,IF(T35+1&lt;&gt;T38,IF(T35+1&lt;&gt;T39,IF(T35+1&lt;&gt;T40,IF(T35+1&lt;&gt;T41,IF(T35+1&lt;&gt;T42,IF(T35+1&lt;&gt;T43,0,1),1),1),1),1),1),1)</f>
        <v>#VALUE!</v>
      </c>
      <c r="U44" s="94" t="e">
        <f>IF(T35+2&lt;&gt;U37,IF(T35+2&lt;&gt;U38,IF(T35+2&lt;&gt;U39,IF(T35+2&lt;&gt;U40,IF(T35+2&lt;&gt;U41,IF(T35+2&lt;&gt;U42,IF(T35+2&lt;&gt;U43,0,1),1),1),1),1),1),1)</f>
        <v>#VALUE!</v>
      </c>
      <c r="V44" s="92" t="e">
        <f>IF(W35&lt;&gt;V37,IF(W35&lt;&gt;V38,IF(W35&lt;&gt;V39,IF(W35&lt;&gt;V40,IF(W35&lt;&gt;V41,IF(W35&lt;&gt;V42,IF(W35&lt;&gt;V43,0,1),1),1),1),1),1),1)</f>
        <v>#VALUE!</v>
      </c>
      <c r="W44" s="93" t="e">
        <f>IF(W35+1&lt;&gt;W37,IF(W35+1&lt;&gt;W38,IF(W35+1&lt;&gt;W39,IF(W35+1&lt;&gt;W40,IF(W35+1&lt;&gt;W41,IF(W35+1&lt;&gt;W42,IF(W35+1&lt;&gt;W43,0,1),1),1),1),1),1),1)</f>
        <v>#VALUE!</v>
      </c>
      <c r="X44" s="94" t="e">
        <f>IF(W35+2&lt;&gt;X37,IF(W35+2&lt;&gt;X38,IF(W35+2&lt;&gt;X39,IF(W35+2&lt;&gt;X40,IF(W35+2&lt;&gt;X41,IF(W35+2&lt;&gt;X42,IF(W35+2&lt;&gt;X43,0,1),1),1),1),1),1),1)</f>
        <v>#VALUE!</v>
      </c>
    </row>
    <row r="45" spans="1:24" ht="13.5" customHeight="1">
      <c r="A45" s="319" t="s">
        <v>1051</v>
      </c>
      <c r="B45" s="56"/>
      <c r="C45" s="56"/>
      <c r="D45" s="275"/>
      <c r="I45" s="64">
        <f>IF('Plans modif'!$G$15&lt;&gt;"",IF(B41&lt;&gt;"",IF(AND(J39&lt;=I43,J40&gt;=I43),9,IF(AND(J39&gt;=I43,J40&lt;=I44),I44-J39+1,IF(AND(J39&gt;I43,J39&lt;=I44,J40&gt;=I44),I44-J39+1,0))),0),0)</f>
        <v>0</v>
      </c>
      <c r="J45" s="25"/>
      <c r="K45" s="322">
        <f>IF('Plans modif'!$G$15&lt;&gt;"",IF(B41&lt;&gt;"",IF(AND(B41&lt;=I43,J40&gt;=I43),9,IF(AND(B41&gt;=I43,J40&lt;=I44),I44-B41+1,IF(AND(B41&gt;I43,B41&lt;=I44,J40&gt;=I44),I44-B41+1,0))),0),0)</f>
        <v>0</v>
      </c>
      <c r="L45" s="282" t="s">
        <v>1056</v>
      </c>
      <c r="M45" s="256" t="e">
        <f>DATE(YEAR(N35),IF((25-MOD(11*MOD(YEAR(N35),19)+4-INT((7*MOD(YEAR(N35),19)+1)/19),29)-MOD(YEAR(N35)-1900+INT((YEAR(N35)-1900)/4)+31-MOD(11*MOD(YEAR(N35),19)+4-INT((7*MOD(YEAR(N35),19)+1)/19),29),7))&lt;=0,3,4),IF(25-MOD(11*MOD(YEAR(N35),19)+4-INT((7*MOD(YEAR(N35),19)+1)/19),29)-MOD(YEAR(N35)-1900+INT((YEAR(N35)-1900)/4)+31-MOD(11*MOD(YEAR(N35),19)+4-INT((7*MOD(YEAR(N35),19)+1)/19),29),7)&lt;=0,25-MOD(11*MOD(YEAR(N35),19)+4-INT((7*MOD(YEAR(N35),19)+1)/19),29)-MOD(YEAR(N35)-1900+INT((YEAR(N35)-1900)/4)+31-MOD(11*MOD(YEAR(N35),19)+4-INT((7*MOD(YEAR(N35),19)+1)/19),29),7)+31,25-MOD(11*MOD(YEAR(N35),19)+4-INT((7*MOD(YEAR(N35),19)+1)/19),29)-MOD(YEAR(N35)-1900+INT((YEAR(N35)-1900)/4)+31-MOD(11*MOD(YEAR(N35),19)+4-INT((7*MOD(YEAR(N35),19)+1)/19),29),7)))</f>
        <v>#VALUE!</v>
      </c>
      <c r="N45" s="256" t="e">
        <f>DATE(YEAR((N35+1)),IF((25-MOD(11*MOD(YEAR((N35+1)),19)+4-INT((7*MOD(YEAR((N35+1)),19)+1)/19),29)-MOD(YEAR((N35+1))-1900+INT((YEAR((N35+1))-1900)/4)+31-MOD(11*MOD(YEAR((N35+1)),19)+4-INT((7*MOD(YEAR((N35+1)),19)+1)/19),29),7))&lt;=0,3,4),IF(25-MOD(11*MOD(YEAR((N35+1)),19)+4-INT((7*MOD(YEAR((N35+1)),19)+1)/19),29)-MOD(YEAR((N35+1))-1900+INT((YEAR((N35+1))-1900)/4)+31-MOD(11*MOD(YEAR((N35+1)),19)+4-INT((7*MOD(YEAR((N35+1)),19)+1)/19),29),7)&lt;=0,25-MOD(11*MOD(YEAR((N35+1)),19)+4-INT((7*MOD(YEAR((N35+1)),19)+1)/19),29)-MOD(YEAR((N35+1))-1900+INT((YEAR((N35+1))-1900)/4)+31-MOD(11*MOD(YEAR((N35+1)),19)+4-INT((7*MOD(YEAR((N35+1)),19)+1)/19),29),7)+31,25-MOD(11*MOD(YEAR((N35+1)),19)+4-INT((7*MOD(YEAR((N35+1)),19)+1)/19),29)-MOD(YEAR((N35+1))-1900+INT((YEAR((N35+1))-1900)/4)+31-MOD(11*MOD(YEAR((N35+1)),19)+4-INT((7*MOD(YEAR((N35+1)),19)+1)/19),29),7)))</f>
        <v>#VALUE!</v>
      </c>
      <c r="O45" s="256" t="e">
        <f>DATE(YEAR((N35+2)),IF((25-MOD(11*MOD(YEAR((N35+2)),19)+4-INT((7*MOD(YEAR((N35+2)),19)+1)/19),29)-MOD(YEAR((N35+2))-1900+INT((YEAR((N35+2))-1900)/4)+31-MOD(11*MOD(YEAR((N35+2)),19)+4-INT((7*MOD(YEAR((N35+2)),19)+1)/19),29),7))&lt;=0,3,4),IF(25-MOD(11*MOD(YEAR((N35+2)),19)+4-INT((7*MOD(YEAR((N35+2)),19)+1)/19),29)-MOD(YEAR((N35+2))-1900+INT((YEAR((N35+2))-1900)/4)+31-MOD(11*MOD(YEAR((N35+2)),19)+4-INT((7*MOD(YEAR((N35+2)),19)+1)/19),29),7)&lt;=0,25-MOD(11*MOD(YEAR((N35+2)),19)+4-INT((7*MOD(YEAR((N35+2)),19)+1)/19),29)-MOD(YEAR((N35+2))-1900+INT((YEAR((N35+2))-1900)/4)+31-MOD(11*MOD(YEAR((N35+2)),19)+4-INT((7*MOD(YEAR((N35+2)),19)+1)/19),29),7)+31,25-MOD(11*MOD(YEAR((N35+2)),19)+4-INT((7*MOD(YEAR((N35+2)),19)+1)/19),29)-MOD(YEAR((N35+2))-1900+INT((YEAR((N35+2))-1900)/4)+31-MOD(11*MOD(YEAR((N35+2)),19)+4-INT((7*MOD(YEAR((N35+2)),19)+1)/19),29),7)))</f>
        <v>#VALUE!</v>
      </c>
      <c r="P45" s="256" t="e">
        <f>DATE(YEAR(Q35),IF((25-MOD(11*MOD(YEAR(Q35),19)+4-INT((7*MOD(YEAR(Q35),19)+1)/19),29)-MOD(YEAR(Q35)-1900+INT((YEAR(Q35)-1900)/4)+31-MOD(11*MOD(YEAR(Q35),19)+4-INT((7*MOD(YEAR(Q35),19)+1)/19),29),7))&lt;=0,3,4),IF(25-MOD(11*MOD(YEAR(Q35),19)+4-INT((7*MOD(YEAR(Q35),19)+1)/19),29)-MOD(YEAR(Q35)-1900+INT((YEAR(Q35)-1900)/4)+31-MOD(11*MOD(YEAR(Q35),19)+4-INT((7*MOD(YEAR(Q35),19)+1)/19),29),7)&lt;=0,25-MOD(11*MOD(YEAR(Q35),19)+4-INT((7*MOD(YEAR(Q35),19)+1)/19),29)-MOD(YEAR(Q35)-1900+INT((YEAR(Q35)-1900)/4)+31-MOD(11*MOD(YEAR(Q35),19)+4-INT((7*MOD(YEAR(Q35),19)+1)/19),29),7)+31,25-MOD(11*MOD(YEAR(Q35),19)+4-INT((7*MOD(YEAR(Q35),19)+1)/19),29)-MOD(YEAR(Q35)-1900+INT((YEAR(Q35)-1900)/4)+31-MOD(11*MOD(YEAR(Q35),19)+4-INT((7*MOD(YEAR(Q35),19)+1)/19),29),7)))</f>
        <v>#VALUE!</v>
      </c>
      <c r="Q45" s="256" t="e">
        <f>DATE(YEAR((Q35+1)),IF((25-MOD(11*MOD(YEAR((Q35+1)),19)+4-INT((7*MOD(YEAR((Q35+1)),19)+1)/19),29)-MOD(YEAR((Q35+1))-1900+INT((YEAR((Q35+1))-1900)/4)+31-MOD(11*MOD(YEAR((Q35+1)),19)+4-INT((7*MOD(YEAR((Q35+1)),19)+1)/19),29),7))&lt;=0,3,4),IF(25-MOD(11*MOD(YEAR((Q35+1)),19)+4-INT((7*MOD(YEAR((Q35+1)),19)+1)/19),29)-MOD(YEAR((Q35+1))-1900+INT((YEAR((Q35+1))-1900)/4)+31-MOD(11*MOD(YEAR((Q35+1)),19)+4-INT((7*MOD(YEAR((Q35+1)),19)+1)/19),29),7)&lt;=0,25-MOD(11*MOD(YEAR((Q35+1)),19)+4-INT((7*MOD(YEAR((Q35+1)),19)+1)/19),29)-MOD(YEAR((Q35+1))-1900+INT((YEAR((Q35+1))-1900)/4)+31-MOD(11*MOD(YEAR((Q35+1)),19)+4-INT((7*MOD(YEAR((Q35+1)),19)+1)/19),29),7)+31,25-MOD(11*MOD(YEAR((Q35+1)),19)+4-INT((7*MOD(YEAR((Q35+1)),19)+1)/19),29)-MOD(YEAR((Q35+1))-1900+INT((YEAR((Q35+1))-1900)/4)+31-MOD(11*MOD(YEAR((Q35+1)),19)+4-INT((7*MOD(YEAR((Q35+1)),19)+1)/19),29),7)))</f>
        <v>#VALUE!</v>
      </c>
      <c r="R45" s="256" t="e">
        <f>DATE(YEAR((Q35+2)),IF((25-MOD(11*MOD(YEAR((Q35+2)),19)+4-INT((7*MOD(YEAR((Q35+2)),19)+1)/19),29)-MOD(YEAR((Q35+2))-1900+INT((YEAR((Q35+2))-1900)/4)+31-MOD(11*MOD(YEAR((Q35+2)),19)+4-INT((7*MOD(YEAR((Q35+2)),19)+1)/19),29),7))&lt;=0,3,4),IF(25-MOD(11*MOD(YEAR((Q35+2)),19)+4-INT((7*MOD(YEAR((Q35+2)),19)+1)/19),29)-MOD(YEAR((Q35+2))-1900+INT((YEAR((Q35+2))-1900)/4)+31-MOD(11*MOD(YEAR((Q35+2)),19)+4-INT((7*MOD(YEAR((Q35+2)),19)+1)/19),29),7)&lt;=0,25-MOD(11*MOD(YEAR((Q35+2)),19)+4-INT((7*MOD(YEAR((Q35+2)),19)+1)/19),29)-MOD(YEAR((Q35+2))-1900+INT((YEAR((Q35+2))-1900)/4)+31-MOD(11*MOD(YEAR((Q35+2)),19)+4-INT((7*MOD(YEAR((Q35+2)),19)+1)/19),29),7)+31,25-MOD(11*MOD(YEAR((Q35+2)),19)+4-INT((7*MOD(YEAR((Q35+2)),19)+1)/19),29)-MOD(YEAR((Q35+2))-1900+INT((YEAR((Q35+2))-1900)/4)+31-MOD(11*MOD(YEAR((Q35+2)),19)+4-INT((7*MOD(YEAR((Q35+2)),19)+1)/19),29),7)))</f>
        <v>#VALUE!</v>
      </c>
      <c r="S45" s="256" t="e">
        <f>DATE(YEAR(T35),IF((25-MOD(11*MOD(YEAR(T35),19)+4-INT((7*MOD(YEAR(T35),19)+1)/19),29)-MOD(YEAR(T35)-1900+INT((YEAR(T35)-1900)/4)+31-MOD(11*MOD(YEAR(T35),19)+4-INT((7*MOD(YEAR(T35),19)+1)/19),29),7))&lt;=0,3,4),IF(25-MOD(11*MOD(YEAR(T35),19)+4-INT((7*MOD(YEAR(T35),19)+1)/19),29)-MOD(YEAR(T35)-1900+INT((YEAR(T35)-1900)/4)+31-MOD(11*MOD(YEAR(T35),19)+4-INT((7*MOD(YEAR(T35),19)+1)/19),29),7)&lt;=0,25-MOD(11*MOD(YEAR(T35),19)+4-INT((7*MOD(YEAR(T35),19)+1)/19),29)-MOD(YEAR(T35)-1900+INT((YEAR(T35)-1900)/4)+31-MOD(11*MOD(YEAR(T35),19)+4-INT((7*MOD(YEAR(T35),19)+1)/19),29),7)+31,25-MOD(11*MOD(YEAR(T35),19)+4-INT((7*MOD(YEAR(T35),19)+1)/19),29)-MOD(YEAR(T35)-1900+INT((YEAR(T35)-1900)/4)+31-MOD(11*MOD(YEAR(T35),19)+4-INT((7*MOD(YEAR(T35),19)+1)/19),29),7)))</f>
        <v>#VALUE!</v>
      </c>
      <c r="T45" s="256" t="e">
        <f>DATE(YEAR((T35+1)),IF((25-MOD(11*MOD(YEAR((T35+1)),19)+4-INT((7*MOD(YEAR((T35+1)),19)+1)/19),29)-MOD(YEAR((T35+1))-1900+INT((YEAR((T35+1))-1900)/4)+31-MOD(11*MOD(YEAR((T35+1)),19)+4-INT((7*MOD(YEAR((T35+1)),19)+1)/19),29),7))&lt;=0,3,4),IF(25-MOD(11*MOD(YEAR((T35+1)),19)+4-INT((7*MOD(YEAR((T35+1)),19)+1)/19),29)-MOD(YEAR((T35+1))-1900+INT((YEAR((T35+1))-1900)/4)+31-MOD(11*MOD(YEAR((T35+1)),19)+4-INT((7*MOD(YEAR((T35+1)),19)+1)/19),29),7)&lt;=0,25-MOD(11*MOD(YEAR((T35+1)),19)+4-INT((7*MOD(YEAR((T35+1)),19)+1)/19),29)-MOD(YEAR((T35+1))-1900+INT((YEAR((T35+1))-1900)/4)+31-MOD(11*MOD(YEAR((T35+1)),19)+4-INT((7*MOD(YEAR((T35+1)),19)+1)/19),29),7)+31,25-MOD(11*MOD(YEAR((T35+1)),19)+4-INT((7*MOD(YEAR((T35+1)),19)+1)/19),29)-MOD(YEAR((T35+1))-1900+INT((YEAR((T35+1))-1900)/4)+31-MOD(11*MOD(YEAR((T35+1)),19)+4-INT((7*MOD(YEAR((T35+1)),19)+1)/19),29),7)))</f>
        <v>#VALUE!</v>
      </c>
      <c r="U45" s="256" t="e">
        <f>DATE(YEAR((T35+2)),IF((25-MOD(11*MOD(YEAR((T35+2)),19)+4-INT((7*MOD(YEAR((T35+2)),19)+1)/19),29)-MOD(YEAR((T35+2))-1900+INT((YEAR((T35+2))-1900)/4)+31-MOD(11*MOD(YEAR((T35+2)),19)+4-INT((7*MOD(YEAR((T35+2)),19)+1)/19),29),7))&lt;=0,3,4),IF(25-MOD(11*MOD(YEAR((T35+2)),19)+4-INT((7*MOD(YEAR((T35+2)),19)+1)/19),29)-MOD(YEAR((T35+2))-1900+INT((YEAR((T35+2))-1900)/4)+31-MOD(11*MOD(YEAR((T35+2)),19)+4-INT((7*MOD(YEAR((T35+2)),19)+1)/19),29),7)&lt;=0,25-MOD(11*MOD(YEAR((T35+2)),19)+4-INT((7*MOD(YEAR((T35+2)),19)+1)/19),29)-MOD(YEAR((T35+2))-1900+INT((YEAR((T35+2))-1900)/4)+31-MOD(11*MOD(YEAR((T35+2)),19)+4-INT((7*MOD(YEAR((T35+2)),19)+1)/19),29),7)+31,25-MOD(11*MOD(YEAR((T35+2)),19)+4-INT((7*MOD(YEAR((T35+2)),19)+1)/19),29)-MOD(YEAR((T35+2))-1900+INT((YEAR((T35+2))-1900)/4)+31-MOD(11*MOD(YEAR((T35+2)),19)+4-INT((7*MOD(YEAR((T35+2)),19)+1)/19),29),7)))</f>
        <v>#VALUE!</v>
      </c>
      <c r="V45" s="256" t="e">
        <f>DATE(YEAR(W35),IF((25-MOD(11*MOD(YEAR(W35),19)+4-INT((7*MOD(YEAR(W35),19)+1)/19),29)-MOD(YEAR(W35)-1900+INT((YEAR(W35)-1900)/4)+31-MOD(11*MOD(YEAR(W35),19)+4-INT((7*MOD(YEAR(W35),19)+1)/19),29),7))&lt;=0,3,4),IF(25-MOD(11*MOD(YEAR(W35),19)+4-INT((7*MOD(YEAR(W35),19)+1)/19),29)-MOD(YEAR(W35)-1900+INT((YEAR(W35)-1900)/4)+31-MOD(11*MOD(YEAR(W35),19)+4-INT((7*MOD(YEAR(W35),19)+1)/19),29),7)&lt;=0,25-MOD(11*MOD(YEAR(W35),19)+4-INT((7*MOD(YEAR(W35),19)+1)/19),29)-MOD(YEAR(W35)-1900+INT((YEAR(W35)-1900)/4)+31-MOD(11*MOD(YEAR(W35),19)+4-INT((7*MOD(YEAR(W35),19)+1)/19),29),7)+31,25-MOD(11*MOD(YEAR(W35),19)+4-INT((7*MOD(YEAR(W35),19)+1)/19),29)-MOD(YEAR(W35)-1900+INT((YEAR(W35)-1900)/4)+31-MOD(11*MOD(YEAR(W35),19)+4-INT((7*MOD(YEAR(W35),19)+1)/19),29),7)))</f>
        <v>#VALUE!</v>
      </c>
      <c r="W45" s="256" t="e">
        <f>DATE(YEAR((W35+1)),IF((25-MOD(11*MOD(YEAR((W35+1)),19)+4-INT((7*MOD(YEAR((W35+1)),19)+1)/19),29)-MOD(YEAR((W35+1))-1900+INT((YEAR((W35+1))-1900)/4)+31-MOD(11*MOD(YEAR((W35+1)),19)+4-INT((7*MOD(YEAR((W35+1)),19)+1)/19),29),7))&lt;=0,3,4),IF(25-MOD(11*MOD(YEAR((W35+1)),19)+4-INT((7*MOD(YEAR((W35+1)),19)+1)/19),29)-MOD(YEAR((W35+1))-1900+INT((YEAR((W35+1))-1900)/4)+31-MOD(11*MOD(YEAR((W35+1)),19)+4-INT((7*MOD(YEAR((W35+1)),19)+1)/19),29),7)&lt;=0,25-MOD(11*MOD(YEAR((W35+1)),19)+4-INT((7*MOD(YEAR((W35+1)),19)+1)/19),29)-MOD(YEAR((W35+1))-1900+INT((YEAR((W35+1))-1900)/4)+31-MOD(11*MOD(YEAR((W35+1)),19)+4-INT((7*MOD(YEAR((W35+1)),19)+1)/19),29),7)+31,25-MOD(11*MOD(YEAR((W35+1)),19)+4-INT((7*MOD(YEAR((W35+1)),19)+1)/19),29)-MOD(YEAR((W35+1))-1900+INT((YEAR((W35+1))-1900)/4)+31-MOD(11*MOD(YEAR((W35+1)),19)+4-INT((7*MOD(YEAR((W35+1)),19)+1)/19),29),7)))</f>
        <v>#VALUE!</v>
      </c>
      <c r="X45" s="256" t="e">
        <f>DATE(YEAR((W35+2)),IF((25-MOD(11*MOD(YEAR((W35+2)),19)+4-INT((7*MOD(YEAR((W35+2)),19)+1)/19),29)-MOD(YEAR((W35+2))-1900+INT((YEAR((W35+2))-1900)/4)+31-MOD(11*MOD(YEAR((W35+2)),19)+4-INT((7*MOD(YEAR((W35+2)),19)+1)/19),29),7))&lt;=0,3,4),IF(25-MOD(11*MOD(YEAR((W35+2)),19)+4-INT((7*MOD(YEAR((W35+2)),19)+1)/19),29)-MOD(YEAR((W35+2))-1900+INT((YEAR((W35+2))-1900)/4)+31-MOD(11*MOD(YEAR((W35+2)),19)+4-INT((7*MOD(YEAR((W35+2)),19)+1)/19),29),7)&lt;=0,25-MOD(11*MOD(YEAR((W35+2)),19)+4-INT((7*MOD(YEAR((W35+2)),19)+1)/19),29)-MOD(YEAR((W35+2))-1900+INT((YEAR((W35+2))-1900)/4)+31-MOD(11*MOD(YEAR((W35+2)),19)+4-INT((7*MOD(YEAR((W35+2)),19)+1)/19),29),7)+31,25-MOD(11*MOD(YEAR((W35+2)),19)+4-INT((7*MOD(YEAR((W35+2)),19)+1)/19),29)-MOD(YEAR((W35+2))-1900+INT((YEAR((W35+2))-1900)/4)+31-MOD(11*MOD(YEAR((W35+2)),19)+4-INT((7*MOD(YEAR((W35+2)),19)+1)/19),29),7)))</f>
        <v>#VALUE!</v>
      </c>
    </row>
    <row r="46" spans="1:24" ht="13.5" customHeight="1">
      <c r="A46" s="319" t="s">
        <v>1067</v>
      </c>
      <c r="B46" s="56"/>
      <c r="C46" s="56"/>
      <c r="D46" s="261"/>
      <c r="E46" s="261"/>
      <c r="F46" s="261"/>
      <c r="G46" s="261"/>
      <c r="H46" s="261"/>
      <c r="I46" s="261"/>
      <c r="J46" s="261"/>
      <c r="K46" s="261"/>
      <c r="L46" s="282" t="s">
        <v>46</v>
      </c>
      <c r="M46" s="89" t="e">
        <f t="shared" ref="M46:X46" si="4">M45+1</f>
        <v>#VALUE!</v>
      </c>
      <c r="N46" s="110" t="e">
        <f t="shared" si="4"/>
        <v>#VALUE!</v>
      </c>
      <c r="O46" s="90" t="e">
        <f t="shared" si="4"/>
        <v>#VALUE!</v>
      </c>
      <c r="P46" s="89" t="e">
        <f t="shared" si="4"/>
        <v>#VALUE!</v>
      </c>
      <c r="Q46" s="110" t="e">
        <f t="shared" si="4"/>
        <v>#VALUE!</v>
      </c>
      <c r="R46" s="90" t="e">
        <f t="shared" si="4"/>
        <v>#VALUE!</v>
      </c>
      <c r="S46" s="89" t="e">
        <f t="shared" si="4"/>
        <v>#VALUE!</v>
      </c>
      <c r="T46" s="110" t="e">
        <f t="shared" si="4"/>
        <v>#VALUE!</v>
      </c>
      <c r="U46" s="90" t="e">
        <f t="shared" si="4"/>
        <v>#VALUE!</v>
      </c>
      <c r="V46" s="89" t="e">
        <f t="shared" si="4"/>
        <v>#VALUE!</v>
      </c>
      <c r="W46" s="110" t="e">
        <f t="shared" si="4"/>
        <v>#VALUE!</v>
      </c>
      <c r="X46" s="90" t="e">
        <f t="shared" si="4"/>
        <v>#VALUE!</v>
      </c>
    </row>
    <row r="47" spans="1:24" ht="13.5" customHeight="1">
      <c r="L47" s="282" t="s">
        <v>49</v>
      </c>
      <c r="M47" s="89" t="e">
        <f>M45+39</f>
        <v>#VALUE!</v>
      </c>
      <c r="N47" s="110" t="e">
        <f>N45+39</f>
        <v>#VALUE!</v>
      </c>
      <c r="O47" s="90" t="e">
        <f>O45+39</f>
        <v>#VALUE!</v>
      </c>
      <c r="P47" s="89" t="e">
        <f t="shared" ref="P47:X47" si="5">P45+39</f>
        <v>#VALUE!</v>
      </c>
      <c r="Q47" s="110" t="e">
        <f t="shared" si="5"/>
        <v>#VALUE!</v>
      </c>
      <c r="R47" s="90" t="e">
        <f t="shared" si="5"/>
        <v>#VALUE!</v>
      </c>
      <c r="S47" s="89" t="e">
        <f t="shared" si="5"/>
        <v>#VALUE!</v>
      </c>
      <c r="T47" s="110" t="e">
        <f t="shared" si="5"/>
        <v>#VALUE!</v>
      </c>
      <c r="U47" s="90" t="e">
        <f t="shared" si="5"/>
        <v>#VALUE!</v>
      </c>
      <c r="V47" s="89" t="e">
        <f t="shared" si="5"/>
        <v>#VALUE!</v>
      </c>
      <c r="W47" s="110" t="e">
        <f t="shared" si="5"/>
        <v>#VALUE!</v>
      </c>
      <c r="X47" s="90" t="e">
        <f t="shared" si="5"/>
        <v>#VALUE!</v>
      </c>
    </row>
    <row r="48" spans="1:24" ht="13.5" customHeight="1">
      <c r="L48" s="282" t="s">
        <v>53</v>
      </c>
      <c r="M48" s="279" t="e">
        <f>M45+50</f>
        <v>#VALUE!</v>
      </c>
      <c r="N48" s="280" t="e">
        <f>N45+50</f>
        <v>#VALUE!</v>
      </c>
      <c r="O48" s="281" t="e">
        <f>O45+50</f>
        <v>#VALUE!</v>
      </c>
      <c r="P48" s="279" t="e">
        <f t="shared" ref="P48:X48" si="6">P45+50</f>
        <v>#VALUE!</v>
      </c>
      <c r="Q48" s="280" t="e">
        <f t="shared" si="6"/>
        <v>#VALUE!</v>
      </c>
      <c r="R48" s="281" t="e">
        <f t="shared" si="6"/>
        <v>#VALUE!</v>
      </c>
      <c r="S48" s="279" t="e">
        <f t="shared" si="6"/>
        <v>#VALUE!</v>
      </c>
      <c r="T48" s="280" t="e">
        <f t="shared" si="6"/>
        <v>#VALUE!</v>
      </c>
      <c r="U48" s="281" t="e">
        <f t="shared" si="6"/>
        <v>#VALUE!</v>
      </c>
      <c r="V48" s="279" t="e">
        <f t="shared" si="6"/>
        <v>#VALUE!</v>
      </c>
      <c r="W48" s="280" t="e">
        <f t="shared" si="6"/>
        <v>#VALUE!</v>
      </c>
      <c r="X48" s="281" t="e">
        <f t="shared" si="6"/>
        <v>#VALUE!</v>
      </c>
    </row>
    <row r="49" spans="1:24" ht="13.5" customHeight="1">
      <c r="A49" s="3"/>
      <c r="B49" s="381" t="s">
        <v>1057</v>
      </c>
      <c r="C49" s="382"/>
      <c r="D49" s="383"/>
      <c r="L49" s="47" t="s">
        <v>35</v>
      </c>
      <c r="M49" s="92" t="e">
        <f>IF(N35&lt;&gt;M46,IF(N35&lt;&gt;M47,IF(N35&lt;&gt;M48,0,1),1),1)</f>
        <v>#VALUE!</v>
      </c>
      <c r="N49" s="93" t="e">
        <f>IF(N35+1&lt;&gt;N46,IF(N35+1&lt;&gt;N47,IF(N35+1&lt;&gt;N48,0,1),1),1)</f>
        <v>#VALUE!</v>
      </c>
      <c r="O49" s="94" t="e">
        <f>IF(N35+2&lt;&gt;O46,IF(N35+2&lt;&gt;O47,IF(N35+2&lt;&gt;O48,0,1),1),1)</f>
        <v>#VALUE!</v>
      </c>
      <c r="P49" s="92" t="e">
        <f>IF(Q35&lt;&gt;P46,IF(Q35&lt;&gt;P47,IF(Q35&lt;&gt;P48,0,1),1),1)</f>
        <v>#VALUE!</v>
      </c>
      <c r="Q49" s="93" t="e">
        <f>IF(Q35+1&lt;&gt;Q46,IF(Q35+1&lt;&gt;Q47,IF(Q35+1&lt;&gt;Q48,0,1),1),1)</f>
        <v>#VALUE!</v>
      </c>
      <c r="R49" s="94" t="e">
        <f>IF(Q35+2&lt;&gt;R46,IF(Q35+2&lt;&gt;R47,IF(Q35+2&lt;&gt;R48,0,1),1),1)</f>
        <v>#VALUE!</v>
      </c>
      <c r="S49" s="92" t="e">
        <f>IF(T35&lt;&gt;S46,IF(T35&lt;&gt;S47,IF(T35&lt;&gt;S48,0,1),1),1)</f>
        <v>#VALUE!</v>
      </c>
      <c r="T49" s="93" t="e">
        <f>IF(T35+1&lt;&gt;T46,IF(T35+1&lt;&gt;T47,IF(T35+1&lt;&gt;T48,0,1),1),1)</f>
        <v>#VALUE!</v>
      </c>
      <c r="U49" s="94" t="e">
        <f>IF(T35+2&lt;&gt;U46,IF(T35+2&lt;&gt;U47,IF(T35+2&lt;&gt;U48,0,1),1),1)</f>
        <v>#VALUE!</v>
      </c>
      <c r="V49" s="92" t="e">
        <f>IF(W35&lt;&gt;V46,IF(W35&lt;&gt;V47,IF(W35&lt;&gt;V48,0,1),1),1)</f>
        <v>#VALUE!</v>
      </c>
      <c r="W49" s="93" t="e">
        <f>IF(W35+1&lt;&gt;W46,IF(W35+1&lt;&gt;W47,IF(W35+1&lt;&gt;W48,0,1),1),1)</f>
        <v>#VALUE!</v>
      </c>
      <c r="X49" s="94" t="e">
        <f>IF(W35+2&lt;&gt;X46,IF(W35+2&lt;&gt;X47,IF(W35+2&lt;&gt;X48,0,1),1),1)</f>
        <v>#VALUE!</v>
      </c>
    </row>
    <row r="50" spans="1:24" ht="13.5" customHeight="1">
      <c r="A50" s="37"/>
      <c r="B50" s="161" t="str">
        <f>IF(AND(Demande!$L$77=TRUE,A49&lt;&gt;""),"Début enquête","")</f>
        <v/>
      </c>
      <c r="C50" s="161" t="str">
        <f>IF(AND(Demande!$L$77=TRUE,A49&lt;&gt;""),"Fin enquête","")</f>
        <v/>
      </c>
      <c r="D50" s="161" t="str">
        <f>IF(AND(Demande!$L$77=TRUE,A49&lt;&gt;""),"PV enquête","")</f>
        <v/>
      </c>
      <c r="F50" s="384" t="str">
        <f>IF(AND(Demande!$L$77=TRUE,A49&lt;&gt;""),"Demande enquête publique","")</f>
        <v/>
      </c>
      <c r="G50" s="385"/>
      <c r="I50" s="198" t="s">
        <v>1011</v>
      </c>
      <c r="J50" s="198" t="s">
        <v>1012</v>
      </c>
      <c r="K50" s="205"/>
      <c r="L50" s="47" t="s">
        <v>57</v>
      </c>
      <c r="M50" s="95" t="e">
        <f t="shared" ref="M50:X50" si="7">IF(OR(M44=1,M49=1),1,0)</f>
        <v>#VALUE!</v>
      </c>
      <c r="N50" s="96" t="e">
        <f t="shared" si="7"/>
        <v>#VALUE!</v>
      </c>
      <c r="O50" s="97" t="e">
        <f t="shared" si="7"/>
        <v>#VALUE!</v>
      </c>
      <c r="P50" s="95" t="e">
        <f t="shared" si="7"/>
        <v>#VALUE!</v>
      </c>
      <c r="Q50" s="96" t="e">
        <f t="shared" si="7"/>
        <v>#VALUE!</v>
      </c>
      <c r="R50" s="97" t="e">
        <f t="shared" si="7"/>
        <v>#VALUE!</v>
      </c>
      <c r="S50" s="95" t="e">
        <f t="shared" si="7"/>
        <v>#VALUE!</v>
      </c>
      <c r="T50" s="96" t="e">
        <f t="shared" si="7"/>
        <v>#VALUE!</v>
      </c>
      <c r="U50" s="97" t="e">
        <f t="shared" si="7"/>
        <v>#VALUE!</v>
      </c>
      <c r="V50" s="95" t="e">
        <f t="shared" si="7"/>
        <v>#VALUE!</v>
      </c>
      <c r="W50" s="96" t="e">
        <f t="shared" si="7"/>
        <v>#VALUE!</v>
      </c>
      <c r="X50" s="97" t="e">
        <f t="shared" si="7"/>
        <v>#VALUE!</v>
      </c>
    </row>
    <row r="51" spans="1:24" ht="13.5" customHeight="1">
      <c r="A51" s="37" t="s">
        <v>34</v>
      </c>
      <c r="B51" s="41" t="str">
        <f>IF(AND(Demande!$L$77=TRUE,A49&lt;&gt;""),Demande!$M$18+Demande!$M$19,"")</f>
        <v/>
      </c>
      <c r="C51" s="41" t="str">
        <f>IF(AND(Demande!$L$77=TRUE,A49&lt;&gt;""),IF(OR(Demande!$L$83=3,Demande!$L$83=5,Demande!$L$83=6),IF(OR(Demande!$L$75=1,Demande!$L$76=TRUE),Demande!$M$16,Demande!$M$17)),"")</f>
        <v/>
      </c>
      <c r="D51" s="41" t="str">
        <f>IF(AND(Demande!$L$77=TRUE,A49&lt;&gt;""),Demande!$M$20,"")</f>
        <v/>
      </c>
      <c r="F51" s="149" t="str">
        <f>IF(AND(Demande!$L$77=TRUE,A49&lt;&gt;""),"Demande","")</f>
        <v/>
      </c>
      <c r="G51" s="140" t="str">
        <f>IF(AND(Demande!$L$77=TRUE,A49&lt;&gt;""),'Plans modif'!$G$15,"")</f>
        <v/>
      </c>
      <c r="I51" s="17" t="str">
        <f>IF('Plans modif'!$G$15&lt;&gt;"",DATE(YEAR(J51),7,16),"")</f>
        <v/>
      </c>
      <c r="J51" s="25" t="str">
        <f>IF('Plans modif'!$G$15&lt;&gt;"",IF(AND(G52&lt;&gt;"",B57=""),G52+Demande!$M$18+Demande!$M$19,IF(B57&lt;&gt;"",B57,B53)),"")</f>
        <v/>
      </c>
      <c r="K51" s="25" t="str">
        <f>IF(OR(AND(I53&lt;&gt;0,I53&lt;&gt;31),AND(I53=31,B53=I51)),I52+1,J51)</f>
        <v/>
      </c>
      <c r="L51" s="282"/>
    </row>
    <row r="52" spans="1:24" ht="13.5" customHeight="1">
      <c r="A52" s="37" t="s">
        <v>37</v>
      </c>
      <c r="B52" s="43" t="str">
        <f>IF(A49&lt;&gt;"",IF(OR(Demande!$L$83=3,Demande!$L$83=6),IF(B57&lt;&gt;"",B57-IF(G52&lt;&gt;"",G52,'Plans modif'!$G$15),""),""),"")</f>
        <v/>
      </c>
      <c r="C52" s="43" t="str">
        <f>IF(OR(Demande!$L$83=3,Demande!$L$83=6),IF(AND(B57&lt;&gt;"",C57&lt;&gt;""),C57-B57+1-V52-MAX(I53,I57),""),"")</f>
        <v/>
      </c>
      <c r="D52" s="43" t="str">
        <f>IF(Demande!$L$77=TRUE,IF('Plans modif'!$G$15&lt;&gt;"",IF(D56&lt;&gt;"",D56-C58,""),""),"")</f>
        <v/>
      </c>
      <c r="F52" s="149" t="str">
        <f>IF(AND(Demande!$L$77=TRUE,A49&lt;&gt;""),"Réception","")</f>
        <v/>
      </c>
      <c r="G52" s="56"/>
      <c r="I52" s="17" t="str">
        <f>IF('Plans modif'!$G$15&lt;&gt;"",I51+30,"")</f>
        <v/>
      </c>
      <c r="J52" s="25" t="str">
        <f>IF(B53&lt;&gt;"",W55+V72,"")</f>
        <v/>
      </c>
      <c r="L52" s="19" t="s">
        <v>63</v>
      </c>
      <c r="M52" s="101" t="e">
        <f>IF(AND(O35&lt;&gt;"samedi",O35&lt;&gt;"dimanche"),IF(AND(M50=1,O35="vendredi"),3,IF(AND(M50=1,O35="samedi"),2,IF(M50=1,1,0))),IF(AND(O35="samedi",O50=1),3,IF(O35="samedi",2,IF(AND(O35="dimanche",N50=1),2,1))))</f>
        <v>#VALUE!</v>
      </c>
      <c r="N52" s="277"/>
      <c r="O52" s="277"/>
      <c r="P52" s="101" t="e">
        <f>IF(AND(R35&lt;&gt;"samedi",R35&lt;&gt;"dimanche"),IF(AND(P50=1,R35="vendredi"),3,IF(AND(P50=1,R35="samedi"),2,IF(P50=1,1,0))),IF(AND(R35="samedi",R50=1),3,IF(R35="samedi",2,IF(AND(R35="dimanche",Q50=1),2,1))))</f>
        <v>#VALUE!</v>
      </c>
      <c r="Q52" s="277"/>
      <c r="R52" s="277"/>
      <c r="S52" s="101" t="e">
        <f>IF(AND(U35&lt;&gt;"samedi",U35&lt;&gt;"dimanche"),IF(AND(S50=1,U35="vendredi"),3,IF(AND(S50=1,U35="samedi"),2,IF(S50=1,1,0))),IF(AND(U35="samedi",U50=1),3,IF(U35="samedi",2,IF(AND(U35="dimanche",T50=1),2,1))))</f>
        <v>#VALUE!</v>
      </c>
      <c r="T52" s="277"/>
      <c r="U52" s="277"/>
      <c r="V52" s="101" t="e">
        <f>IF(AND(X35&lt;&gt;"samedi",X35&lt;&gt;"dimanche"),IF(AND(V50=1,X35="vendredi"),3,IF(AND(V50=1,X35="samedi"),2,IF(V50=1,1,0))),IF(AND(X35="samedi",X50=1),3,IF(X35="samedi",2,IF(AND(X35="dimanche",W50=1),2,1))))</f>
        <v>#VALUE!</v>
      </c>
      <c r="W52" s="277"/>
      <c r="X52" s="277"/>
    </row>
    <row r="53" spans="1:24" ht="13.5" customHeight="1">
      <c r="A53" s="44" t="s">
        <v>40</v>
      </c>
      <c r="B53" s="46" t="str">
        <f>IF(A49&lt;&gt;"",IF(Demande!$G$20&lt;&gt;"",IF(OR(Demande!$L$83=3,Demande!$L$83=5,Demande!$L$83=6),IF(B58&lt;&gt;"",B58+Demande!$M$19,IF(G52&lt;&gt;"",G52+B51,Demande!$G$20+B51)),""),""),"")</f>
        <v/>
      </c>
      <c r="C53" s="46" t="str">
        <f>IF(A49&lt;&gt;"",IF(OR(Demande!$L$83=3,Demande!$L$83=6),IF(B53&lt;&gt;"",W15+V32,""),""),"")</f>
        <v/>
      </c>
      <c r="D53" s="46" t="str">
        <f>IF(A49&lt;&gt;"",IF(B53&lt;&gt;"",IF(OR(Demande!$L$83=3,Demande!$L$83=6),C53+D51,""),""),"")</f>
        <v/>
      </c>
      <c r="I53" s="64">
        <f>IF('Plans modif'!$G$15&lt;&gt;"",IF(B53&lt;&gt;"",IF(AND(J51&lt;=I51,J52&gt;=I51),31,IF(AND(J51&gt;=I51,J52&lt;=I52),I52-J51+1,IF(AND(J51&gt;I51,J51&lt;=I52,J52&gt;=I52),I52-J51+1,0))),0),0)</f>
        <v>0</v>
      </c>
      <c r="J53" s="25" t="str">
        <f>IF(A49&lt;&gt;"",IF(Demande!$B$20&lt;&gt;"",IF(B57&lt;&gt;"",W35+V52,IF(B53&lt;&gt;"",W15+V32,""))),"")</f>
        <v/>
      </c>
      <c r="K53" s="322">
        <f>IF('Plans modif'!$G$15&lt;&gt;"",IF(B53&lt;&gt;"",IF(AND(B53&lt;=I51,J52&gt;=I51),31,IF(AND(B53&gt;=I51,J52&lt;=I52),I52-B53+1,IF(AND(B53&gt;I51,B53&lt;=I52,J52&gt;=I52),I52-B53+1,0))),0),0)</f>
        <v>0</v>
      </c>
    </row>
    <row r="54" spans="1:24" ht="13.5" customHeight="1">
      <c r="A54" s="37" t="s">
        <v>44</v>
      </c>
      <c r="B54" s="50" t="str">
        <f>IF(A49&lt;&gt;"",IF(Demande!$B$20&lt;&gt;"",IF(OR(Demande!$L$83=3,Demande!$L$83=6),IF(B57="",B53,IF(I57&lt;&gt;0,K55,IF(I53&lt;&gt;0,K51,B57))),""),""),"")</f>
        <v/>
      </c>
      <c r="C54" s="50" t="str">
        <f>IF(A49&lt;&gt;"",IF(OR(Demande!$L$83=3,Demande!$L$83=6),IF(Demande!$G$20&lt;&gt;"",J53,""),""),"")</f>
        <v/>
      </c>
      <c r="D54" s="50" t="str">
        <f>IF(A49&lt;&gt;"",IF(B54&lt;&gt;"",IF(Demande!$G$20&lt;&gt;"",IF(D56&lt;&gt;"",D56,C54+D51),""),""),"")</f>
        <v/>
      </c>
      <c r="F54" s="386" t="str">
        <f>IF(AND($J$3&gt;0,A49&lt;&gt;""),"Neutralisation de l'enquête","")</f>
        <v/>
      </c>
      <c r="G54" s="387"/>
      <c r="I54" s="1"/>
      <c r="J54" s="198" t="s">
        <v>1013</v>
      </c>
      <c r="K54" s="167"/>
      <c r="M54" s="81" t="s">
        <v>1091</v>
      </c>
      <c r="N54" s="81"/>
      <c r="O54" s="81"/>
      <c r="P54" s="81" t="s">
        <v>1092</v>
      </c>
      <c r="Q54" s="81"/>
      <c r="R54" s="81"/>
      <c r="S54" s="81" t="s">
        <v>1093</v>
      </c>
      <c r="T54" s="81"/>
      <c r="U54" s="81"/>
      <c r="V54" s="81" t="s">
        <v>1094</v>
      </c>
      <c r="W54" s="81"/>
      <c r="X54" s="81"/>
    </row>
    <row r="55" spans="1:24" ht="13.5" customHeight="1">
      <c r="A55" s="4" t="s">
        <v>47</v>
      </c>
      <c r="B55" s="50" t="str">
        <f>TEXT(B54,"jjjj")</f>
        <v/>
      </c>
      <c r="C55" s="50" t="str">
        <f>TEXT(C54,"jjjj")</f>
        <v/>
      </c>
      <c r="D55" s="50" t="str">
        <f>TEXT(D54,"jjjj")</f>
        <v/>
      </c>
      <c r="F55" s="379" t="str">
        <f>IF($J$3&lt;&gt;0,IF(AND(Demande!$L$77=TRUE,A49&lt;&gt;""),CONCATENATE(MAX(I53,I57),IF(MAX(I53,I57)&lt;=1," jour"," jours")),""),"")</f>
        <v/>
      </c>
      <c r="G55" s="380"/>
      <c r="I55" s="17" t="str">
        <f>IF('Plans modif'!$G$15&lt;&gt;"",IF(B58&lt;&gt;"",DATE(YEAR(B58),12,24),IF(B53&lt;&gt;"",DATE(YEAR(B53-1),12,24),"")),"")</f>
        <v/>
      </c>
      <c r="J55" s="25" t="str">
        <f>IF('Plans modif'!$G$15&lt;&gt;"",IF(OR(Demande!$L$83=3,Demande!$L$83=6),IF(AND(J51&gt;=I55,J51&lt;=I56),I56+1,IF(B57&lt;&gt;"",B57,B53)),""),"")</f>
        <v/>
      </c>
      <c r="K55" s="25" t="str">
        <f>IF(AND(I57&lt;&gt;0,I57&lt;&gt;9),I56+1,J55)</f>
        <v/>
      </c>
      <c r="M55" s="34" t="s">
        <v>81</v>
      </c>
      <c r="N55" s="25" t="e">
        <f>J15+C15-1</f>
        <v>#VALUE!</v>
      </c>
      <c r="O55" s="83" t="e">
        <f>TEXT(N55,"jjjj")</f>
        <v>#VALUE!</v>
      </c>
      <c r="P55" s="34" t="s">
        <v>81</v>
      </c>
      <c r="Q55" s="25" t="e">
        <f>J27+C27-1</f>
        <v>#VALUE!</v>
      </c>
      <c r="R55" s="83" t="e">
        <f>TEXT(Q55,"jjjj")</f>
        <v>#VALUE!</v>
      </c>
      <c r="S55" s="34" t="s">
        <v>81</v>
      </c>
      <c r="T55" s="25" t="e">
        <f>J39+C39-1</f>
        <v>#VALUE!</v>
      </c>
      <c r="U55" s="83" t="e">
        <f>TEXT(T55,"jjjj")</f>
        <v>#VALUE!</v>
      </c>
      <c r="V55" s="34" t="s">
        <v>81</v>
      </c>
      <c r="W55" s="25" t="e">
        <f>J51+C51-1</f>
        <v>#VALUE!</v>
      </c>
      <c r="X55" s="83" t="e">
        <f>TEXT(W55,"jjjj")</f>
        <v>#VALUE!</v>
      </c>
    </row>
    <row r="56" spans="1:24" ht="13.5" customHeight="1">
      <c r="B56" s="320" t="s">
        <v>1065</v>
      </c>
      <c r="C56" s="320" t="s">
        <v>1066</v>
      </c>
      <c r="D56" s="56"/>
      <c r="I56" s="17" t="str">
        <f>IF('Plans modif'!$G$15&lt;&gt;"",IF(B53&lt;&gt;"",I55+8,""),"")</f>
        <v/>
      </c>
      <c r="J56" s="199"/>
      <c r="M56" s="85" t="s">
        <v>24</v>
      </c>
      <c r="N56" s="85" t="s">
        <v>25</v>
      </c>
      <c r="O56" s="85" t="s">
        <v>26</v>
      </c>
      <c r="P56" s="85" t="s">
        <v>24</v>
      </c>
      <c r="Q56" s="85" t="s">
        <v>25</v>
      </c>
      <c r="R56" s="85" t="s">
        <v>26</v>
      </c>
      <c r="S56" s="85" t="s">
        <v>24</v>
      </c>
      <c r="T56" s="85" t="s">
        <v>25</v>
      </c>
      <c r="U56" s="85" t="s">
        <v>26</v>
      </c>
      <c r="V56" s="85" t="s">
        <v>24</v>
      </c>
      <c r="W56" s="85" t="s">
        <v>25</v>
      </c>
      <c r="X56" s="85" t="s">
        <v>26</v>
      </c>
    </row>
    <row r="57" spans="1:24" ht="13.5" customHeight="1">
      <c r="A57" s="319" t="s">
        <v>1051</v>
      </c>
      <c r="B57" s="56"/>
      <c r="C57" s="56"/>
      <c r="D57" s="275"/>
      <c r="I57" s="64">
        <f>IF('Plans modif'!$G$15&lt;&gt;"",IF(B53&lt;&gt;"",IF(AND(J51&lt;=I55,J52&gt;=I55),9,IF(AND(J51&gt;=I55,J52&lt;=I56),I56-J51+1,IF(AND(J51&gt;I55,J51&lt;=I56,J52&gt;=I56),I56-J51+1,0))),0),0)</f>
        <v>0</v>
      </c>
      <c r="J57" s="25"/>
      <c r="K57" s="322">
        <f>IF('Plans modif'!$G$15&lt;&gt;"",IF(B53&lt;&gt;"",IF(AND(B53&lt;=I55,J52&gt;=I55),9,IF(AND(B53&gt;=I55,J52&lt;=I56),I56-B53+1,IF(AND(B53&gt;I55,B53&lt;=I56,J52&gt;=I56),I56-B53+1,0))),0),0)</f>
        <v>0</v>
      </c>
      <c r="L57" s="283">
        <v>37257</v>
      </c>
      <c r="M57" s="89" t="e">
        <f>DATE(YEAR(N55),1,1)</f>
        <v>#VALUE!</v>
      </c>
      <c r="N57" s="82" t="e">
        <f>DATE(YEAR(N55+1),1,1)</f>
        <v>#VALUE!</v>
      </c>
      <c r="O57" s="90" t="e">
        <f>DATE(YEAR(N55+2),1,1)</f>
        <v>#VALUE!</v>
      </c>
      <c r="P57" s="89" t="e">
        <f>DATE(YEAR(Q55),1,1)</f>
        <v>#VALUE!</v>
      </c>
      <c r="Q57" s="82" t="e">
        <f>DATE(YEAR(Q55+1),1,1)</f>
        <v>#VALUE!</v>
      </c>
      <c r="R57" s="90" t="e">
        <f>DATE(YEAR(Q55+2),1,1)</f>
        <v>#VALUE!</v>
      </c>
      <c r="S57" s="89" t="e">
        <f>DATE(YEAR(T55),1,1)</f>
        <v>#VALUE!</v>
      </c>
      <c r="T57" s="82" t="e">
        <f>DATE(YEAR(T55+1),1,1)</f>
        <v>#VALUE!</v>
      </c>
      <c r="U57" s="90" t="e">
        <f>DATE(YEAR(T55+2),1,1)</f>
        <v>#VALUE!</v>
      </c>
      <c r="V57" s="89" t="e">
        <f>DATE(YEAR(W55),1,1)</f>
        <v>#VALUE!</v>
      </c>
      <c r="W57" s="82" t="e">
        <f>DATE(YEAR(W55+1),1,1)</f>
        <v>#VALUE!</v>
      </c>
      <c r="X57" s="90" t="e">
        <f>DATE(YEAR(W55+2),1,1)</f>
        <v>#VALUE!</v>
      </c>
    </row>
    <row r="58" spans="1:24" ht="13.5" customHeight="1">
      <c r="A58" s="319" t="s">
        <v>1067</v>
      </c>
      <c r="B58" s="56"/>
      <c r="C58" s="56"/>
      <c r="D58" s="261"/>
      <c r="E58" s="261"/>
      <c r="F58" s="261"/>
      <c r="G58" s="261"/>
      <c r="H58" s="261"/>
      <c r="I58" s="261"/>
      <c r="J58" s="261"/>
      <c r="K58" s="261"/>
      <c r="L58" s="283">
        <v>37377</v>
      </c>
      <c r="M58" s="89" t="e">
        <f>DATE(YEAR(N55),5,1)</f>
        <v>#VALUE!</v>
      </c>
      <c r="N58" s="82" t="e">
        <f>DATE(YEAR(N55+1),5,1)</f>
        <v>#VALUE!</v>
      </c>
      <c r="O58" s="90" t="e">
        <f>DATE(YEAR(N55+2),5,1)</f>
        <v>#VALUE!</v>
      </c>
      <c r="P58" s="89" t="e">
        <f>DATE(YEAR(Q55),5,1)</f>
        <v>#VALUE!</v>
      </c>
      <c r="Q58" s="82" t="e">
        <f>DATE(YEAR(Q55+1),5,1)</f>
        <v>#VALUE!</v>
      </c>
      <c r="R58" s="90" t="e">
        <f>DATE(YEAR(Q55+2),5,1)</f>
        <v>#VALUE!</v>
      </c>
      <c r="S58" s="89" t="e">
        <f>DATE(YEAR(T55),5,1)</f>
        <v>#VALUE!</v>
      </c>
      <c r="T58" s="82" t="e">
        <f>DATE(YEAR(T55+1),5,1)</f>
        <v>#VALUE!</v>
      </c>
      <c r="U58" s="90" t="e">
        <f>DATE(YEAR(T55+2),5,1)</f>
        <v>#VALUE!</v>
      </c>
      <c r="V58" s="89" t="e">
        <f>DATE(YEAR(W55),5,1)</f>
        <v>#VALUE!</v>
      </c>
      <c r="W58" s="82" t="e">
        <f>DATE(YEAR(W55+1),5,1)</f>
        <v>#VALUE!</v>
      </c>
      <c r="X58" s="90" t="e">
        <f>DATE(YEAR(W55+2),5,1)</f>
        <v>#VALUE!</v>
      </c>
    </row>
    <row r="59" spans="1:24" ht="13.5" customHeight="1">
      <c r="L59" s="283">
        <v>37458</v>
      </c>
      <c r="M59" s="89" t="e">
        <f>DATE(YEAR(N55),7,21)</f>
        <v>#VALUE!</v>
      </c>
      <c r="N59" s="82" t="e">
        <f>DATE(YEAR(N55+1),7,21)</f>
        <v>#VALUE!</v>
      </c>
      <c r="O59" s="90" t="e">
        <f>DATE(YEAR(N55+2),7,21)</f>
        <v>#VALUE!</v>
      </c>
      <c r="P59" s="89" t="e">
        <f>DATE(YEAR(Q55),7,21)</f>
        <v>#VALUE!</v>
      </c>
      <c r="Q59" s="82" t="e">
        <f>DATE(YEAR(Q55+1),7,21)</f>
        <v>#VALUE!</v>
      </c>
      <c r="R59" s="90" t="e">
        <f>DATE(YEAR(Q55+2),7,21)</f>
        <v>#VALUE!</v>
      </c>
      <c r="S59" s="89" t="e">
        <f>DATE(YEAR(T55),7,21)</f>
        <v>#VALUE!</v>
      </c>
      <c r="T59" s="82" t="e">
        <f>DATE(YEAR(T55+1),7,21)</f>
        <v>#VALUE!</v>
      </c>
      <c r="U59" s="90" t="e">
        <f>DATE(YEAR(T55+2),7,21)</f>
        <v>#VALUE!</v>
      </c>
      <c r="V59" s="89" t="e">
        <f>DATE(YEAR(W55),7,21)</f>
        <v>#VALUE!</v>
      </c>
      <c r="W59" s="82" t="e">
        <f>DATE(YEAR(W55+1),7,21)</f>
        <v>#VALUE!</v>
      </c>
      <c r="X59" s="90" t="e">
        <f>DATE(YEAR(W55+2),7,21)</f>
        <v>#VALUE!</v>
      </c>
    </row>
    <row r="60" spans="1:24" ht="13.5" customHeight="1">
      <c r="L60" s="283">
        <v>37483</v>
      </c>
      <c r="M60" s="89" t="e">
        <f>DATE(YEAR(N55),8,15)</f>
        <v>#VALUE!</v>
      </c>
      <c r="N60" s="82" t="e">
        <f>DATE(YEAR(N55+1),8,15)</f>
        <v>#VALUE!</v>
      </c>
      <c r="O60" s="90" t="e">
        <f>DATE(YEAR(N55+2),8,15)</f>
        <v>#VALUE!</v>
      </c>
      <c r="P60" s="89" t="e">
        <f>DATE(YEAR(Q55),8,15)</f>
        <v>#VALUE!</v>
      </c>
      <c r="Q60" s="82" t="e">
        <f>DATE(YEAR(Q55+1),8,15)</f>
        <v>#VALUE!</v>
      </c>
      <c r="R60" s="90" t="e">
        <f>DATE(YEAR(Q55+2),8,15)</f>
        <v>#VALUE!</v>
      </c>
      <c r="S60" s="89" t="e">
        <f>DATE(YEAR(T55),8,15)</f>
        <v>#VALUE!</v>
      </c>
      <c r="T60" s="82" t="e">
        <f>DATE(YEAR(T55+1),8,15)</f>
        <v>#VALUE!</v>
      </c>
      <c r="U60" s="90" t="e">
        <f>DATE(YEAR(T55+2),8,15)</f>
        <v>#VALUE!</v>
      </c>
      <c r="V60" s="89" t="e">
        <f>DATE(YEAR(W55),8,15)</f>
        <v>#VALUE!</v>
      </c>
      <c r="W60" s="82" t="e">
        <f>DATE(YEAR(W55+1),8,15)</f>
        <v>#VALUE!</v>
      </c>
      <c r="X60" s="90" t="e">
        <f>DATE(YEAR(W55+2),8,15)</f>
        <v>#VALUE!</v>
      </c>
    </row>
    <row r="61" spans="1:24" ht="13.5" customHeight="1">
      <c r="L61" s="283">
        <v>37561</v>
      </c>
      <c r="M61" s="89" t="e">
        <f>DATE(YEAR(N55),11,1)</f>
        <v>#VALUE!</v>
      </c>
      <c r="N61" s="82" t="e">
        <f>DATE(YEAR(N55+1),11,1)</f>
        <v>#VALUE!</v>
      </c>
      <c r="O61" s="90" t="e">
        <f>DATE(YEAR(N55+2),11,1)</f>
        <v>#VALUE!</v>
      </c>
      <c r="P61" s="89" t="e">
        <f>DATE(YEAR(Q55),11,1)</f>
        <v>#VALUE!</v>
      </c>
      <c r="Q61" s="82" t="e">
        <f>DATE(YEAR(Q55+1),11,1)</f>
        <v>#VALUE!</v>
      </c>
      <c r="R61" s="90" t="e">
        <f>DATE(YEAR(Q55+2),11,1)</f>
        <v>#VALUE!</v>
      </c>
      <c r="S61" s="89" t="e">
        <f>DATE(YEAR(T55),11,1)</f>
        <v>#VALUE!</v>
      </c>
      <c r="T61" s="82" t="e">
        <f>DATE(YEAR(T55+1),11,1)</f>
        <v>#VALUE!</v>
      </c>
      <c r="U61" s="90" t="e">
        <f>DATE(YEAR(T55+2),11,1)</f>
        <v>#VALUE!</v>
      </c>
      <c r="V61" s="89" t="e">
        <f>DATE(YEAR(W55),11,1)</f>
        <v>#VALUE!</v>
      </c>
      <c r="W61" s="82" t="e">
        <f>DATE(YEAR(W55+1),11,1)</f>
        <v>#VALUE!</v>
      </c>
      <c r="X61" s="90" t="e">
        <f>DATE(YEAR(W55+2),11,1)</f>
        <v>#VALUE!</v>
      </c>
    </row>
    <row r="62" spans="1:24" ht="13.5" customHeight="1">
      <c r="L62" s="283">
        <v>37571</v>
      </c>
      <c r="M62" s="89" t="e">
        <f>DATE(YEAR(N55),11,11)</f>
        <v>#VALUE!</v>
      </c>
      <c r="N62" s="82" t="e">
        <f>DATE(YEAR(N55+1),11,11)</f>
        <v>#VALUE!</v>
      </c>
      <c r="O62" s="90" t="e">
        <f>DATE(YEAR(N55+2),11,11)</f>
        <v>#VALUE!</v>
      </c>
      <c r="P62" s="89" t="e">
        <f>DATE(YEAR(Q55),11,11)</f>
        <v>#VALUE!</v>
      </c>
      <c r="Q62" s="82" t="e">
        <f>DATE(YEAR(Q55+1),11,11)</f>
        <v>#VALUE!</v>
      </c>
      <c r="R62" s="90" t="e">
        <f>DATE(YEAR(Q55+2),11,11)</f>
        <v>#VALUE!</v>
      </c>
      <c r="S62" s="89" t="e">
        <f>DATE(YEAR(T55),11,11)</f>
        <v>#VALUE!</v>
      </c>
      <c r="T62" s="82" t="e">
        <f>DATE(YEAR(T55+1),11,11)</f>
        <v>#VALUE!</v>
      </c>
      <c r="U62" s="90" t="e">
        <f>DATE(YEAR(T55+2),11,11)</f>
        <v>#VALUE!</v>
      </c>
      <c r="V62" s="89" t="e">
        <f>DATE(YEAR(W55),11,11)</f>
        <v>#VALUE!</v>
      </c>
      <c r="W62" s="82" t="e">
        <f>DATE(YEAR(W55+1),11,11)</f>
        <v>#VALUE!</v>
      </c>
      <c r="X62" s="90" t="e">
        <f>DATE(YEAR(W55+2),11,11)</f>
        <v>#VALUE!</v>
      </c>
    </row>
    <row r="63" spans="1:24" ht="13.5" customHeight="1">
      <c r="L63" s="283">
        <v>37615</v>
      </c>
      <c r="M63" s="89" t="e">
        <f>DATE(YEAR(N55),12,25)</f>
        <v>#VALUE!</v>
      </c>
      <c r="N63" s="82" t="e">
        <f>DATE(YEAR(N55+1),12,25)</f>
        <v>#VALUE!</v>
      </c>
      <c r="O63" s="90" t="e">
        <f>DATE(YEAR(N55+2),12,25)</f>
        <v>#VALUE!</v>
      </c>
      <c r="P63" s="89" t="e">
        <f>DATE(YEAR(Q55),12,25)</f>
        <v>#VALUE!</v>
      </c>
      <c r="Q63" s="82" t="e">
        <f>DATE(YEAR(Q55+1),12,25)</f>
        <v>#VALUE!</v>
      </c>
      <c r="R63" s="90" t="e">
        <f>DATE(YEAR(Q55+2),12,25)</f>
        <v>#VALUE!</v>
      </c>
      <c r="S63" s="89" t="e">
        <f>DATE(YEAR(T55),12,25)</f>
        <v>#VALUE!</v>
      </c>
      <c r="T63" s="82" t="e">
        <f>DATE(YEAR(T55+1),12,25)</f>
        <v>#VALUE!</v>
      </c>
      <c r="U63" s="90" t="e">
        <f>DATE(YEAR(T55+2),12,25)</f>
        <v>#VALUE!</v>
      </c>
      <c r="V63" s="89" t="e">
        <f>DATE(YEAR(W55),12,25)</f>
        <v>#VALUE!</v>
      </c>
      <c r="W63" s="82" t="e">
        <f>DATE(YEAR(W55+1),12,25)</f>
        <v>#VALUE!</v>
      </c>
      <c r="X63" s="90" t="e">
        <f>DATE(YEAR(W55+2),12,25)</f>
        <v>#VALUE!</v>
      </c>
    </row>
    <row r="64" spans="1:24" ht="13.5" customHeight="1">
      <c r="L64" s="47" t="s">
        <v>43</v>
      </c>
      <c r="M64" s="92" t="e">
        <f>IF(N55&lt;&gt;M57,IF(N55&lt;&gt;M58,IF(N55&lt;&gt;M59,IF(N55&lt;&gt;M60,IF(N55&lt;&gt;M61,IF(N55&lt;&gt;M62,IF(N55&lt;&gt;M63,0,1),1),1),1),1),1),1)</f>
        <v>#VALUE!</v>
      </c>
      <c r="N64" s="93" t="e">
        <f>IF(N55+1&lt;&gt;N57,IF(N55+1&lt;&gt;N58,IF(N55+1&lt;&gt;N59,IF(N55+1&lt;&gt;N60,IF(N55+1&lt;&gt;N61,IF(N55+1&lt;&gt;N62,IF(N55+1&lt;&gt;N63,0,1),1),1),1),1),1),1)</f>
        <v>#VALUE!</v>
      </c>
      <c r="O64" s="94" t="e">
        <f>IF(N55+2&lt;&gt;O57,IF(N55+2&lt;&gt;O58,IF(N55+2&lt;&gt;O59,IF(N55+2&lt;&gt;O60,IF(N55+2&lt;&gt;O61,IF(N55+2&lt;&gt;O62,IF(N55+2&lt;&gt;O63,0,1),1),1),1),1),1),1)</f>
        <v>#VALUE!</v>
      </c>
      <c r="P64" s="92" t="e">
        <f>IF(Q55&lt;&gt;P57,IF(Q55&lt;&gt;P58,IF(Q55&lt;&gt;P59,IF(Q55&lt;&gt;P60,IF(Q55&lt;&gt;P61,IF(Q55&lt;&gt;P62,IF(Q55&lt;&gt;P63,0,1),1),1),1),1),1),1)</f>
        <v>#VALUE!</v>
      </c>
      <c r="Q64" s="93" t="e">
        <f>IF(Q55+1&lt;&gt;Q57,IF(Q55+1&lt;&gt;Q58,IF(Q55+1&lt;&gt;Q59,IF(Q55+1&lt;&gt;Q60,IF(Q55+1&lt;&gt;Q61,IF(Q55+1&lt;&gt;Q62,IF(Q55+1&lt;&gt;Q63,0,1),1),1),1),1),1),1)</f>
        <v>#VALUE!</v>
      </c>
      <c r="R64" s="94" t="e">
        <f>IF(Q55+2&lt;&gt;R57,IF(Q55+2&lt;&gt;R58,IF(Q55+2&lt;&gt;R59,IF(Q55+2&lt;&gt;R60,IF(Q55+2&lt;&gt;R61,IF(Q55+2&lt;&gt;R62,IF(Q55+2&lt;&gt;R63,0,1),1),1),1),1),1),1)</f>
        <v>#VALUE!</v>
      </c>
      <c r="S64" s="92" t="e">
        <f>IF(T55&lt;&gt;S57,IF(T55&lt;&gt;S58,IF(T55&lt;&gt;S59,IF(T55&lt;&gt;S60,IF(T55&lt;&gt;S61,IF(T55&lt;&gt;S62,IF(T55&lt;&gt;S63,0,1),1),1),1),1),1),1)</f>
        <v>#VALUE!</v>
      </c>
      <c r="T64" s="93" t="e">
        <f>IF(T55+1&lt;&gt;T57,IF(T55+1&lt;&gt;T58,IF(T55+1&lt;&gt;T59,IF(T55+1&lt;&gt;T60,IF(T55+1&lt;&gt;T61,IF(T55+1&lt;&gt;T62,IF(T55+1&lt;&gt;T63,0,1),1),1),1),1),1),1)</f>
        <v>#VALUE!</v>
      </c>
      <c r="U64" s="94" t="e">
        <f>IF(T55+2&lt;&gt;U57,IF(T55+2&lt;&gt;U58,IF(T55+2&lt;&gt;U59,IF(T55+2&lt;&gt;U60,IF(T55+2&lt;&gt;U61,IF(T55+2&lt;&gt;U62,IF(T55+2&lt;&gt;U63,0,1),1),1),1),1),1),1)</f>
        <v>#VALUE!</v>
      </c>
      <c r="V64" s="92" t="e">
        <f>IF(W55&lt;&gt;V57,IF(W55&lt;&gt;V58,IF(W55&lt;&gt;V59,IF(W55&lt;&gt;V60,IF(W55&lt;&gt;V61,IF(W55&lt;&gt;V62,IF(W55&lt;&gt;V63,0,1),1),1),1),1),1),1)</f>
        <v>#VALUE!</v>
      </c>
      <c r="W64" s="93" t="e">
        <f>IF(W55+1&lt;&gt;W57,IF(W55+1&lt;&gt;W58,IF(W55+1&lt;&gt;W59,IF(W55+1&lt;&gt;W60,IF(W55+1&lt;&gt;W61,IF(W55+1&lt;&gt;W62,IF(W55+1&lt;&gt;W63,0,1),1),1),1),1),1),1)</f>
        <v>#VALUE!</v>
      </c>
      <c r="X64" s="94" t="e">
        <f>IF(W55+2&lt;&gt;X57,IF(W55+2&lt;&gt;X58,IF(W55+2&lt;&gt;X59,IF(W55+2&lt;&gt;X60,IF(W55+2&lt;&gt;X61,IF(W55+2&lt;&gt;X62,IF(W55+2&lt;&gt;X63,0,1),1),1),1),1),1),1)</f>
        <v>#VALUE!</v>
      </c>
    </row>
    <row r="65" spans="12:24" ht="13.5" customHeight="1">
      <c r="L65" s="282" t="s">
        <v>1056</v>
      </c>
      <c r="M65" s="256" t="e">
        <f>DATE(YEAR(N55),IF((25-MOD(11*MOD(YEAR(N55),19)+4-INT((7*MOD(YEAR(N55),19)+1)/19),29)-MOD(YEAR(N55)-1900+INT((YEAR(N55)-1900)/4)+31-MOD(11*MOD(YEAR(N55),19)+4-INT((7*MOD(YEAR(N55),19)+1)/19),29),7))&lt;=0,3,4),IF(25-MOD(11*MOD(YEAR(N55),19)+4-INT((7*MOD(YEAR(N55),19)+1)/19),29)-MOD(YEAR(N55)-1900+INT((YEAR(N55)-1900)/4)+31-MOD(11*MOD(YEAR(N55),19)+4-INT((7*MOD(YEAR(N55),19)+1)/19),29),7)&lt;=0,25-MOD(11*MOD(YEAR(N55),19)+4-INT((7*MOD(YEAR(N55),19)+1)/19),29)-MOD(YEAR(N55)-1900+INT((YEAR(N55)-1900)/4)+31-MOD(11*MOD(YEAR(N55),19)+4-INT((7*MOD(YEAR(N55),19)+1)/19),29),7)+31,25-MOD(11*MOD(YEAR(N55),19)+4-INT((7*MOD(YEAR(N55),19)+1)/19),29)-MOD(YEAR(N55)-1900+INT((YEAR(N55)-1900)/4)+31-MOD(11*MOD(YEAR(N55),19)+4-INT((7*MOD(YEAR(N55),19)+1)/19),29),7)))</f>
        <v>#VALUE!</v>
      </c>
      <c r="N65" s="256" t="e">
        <f>DATE(YEAR((N55+1)),IF((25-MOD(11*MOD(YEAR((N55+1)),19)+4-INT((7*MOD(YEAR((N55+1)),19)+1)/19),29)-MOD(YEAR((N55+1))-1900+INT((YEAR((N55+1))-1900)/4)+31-MOD(11*MOD(YEAR((N55+1)),19)+4-INT((7*MOD(YEAR((N55+1)),19)+1)/19),29),7))&lt;=0,3,4),IF(25-MOD(11*MOD(YEAR((N55+1)),19)+4-INT((7*MOD(YEAR((N55+1)),19)+1)/19),29)-MOD(YEAR((N55+1))-1900+INT((YEAR((N55+1))-1900)/4)+31-MOD(11*MOD(YEAR((N55+1)),19)+4-INT((7*MOD(YEAR((N55+1)),19)+1)/19),29),7)&lt;=0,25-MOD(11*MOD(YEAR((N55+1)),19)+4-INT((7*MOD(YEAR((N55+1)),19)+1)/19),29)-MOD(YEAR((N55+1))-1900+INT((YEAR((N55+1))-1900)/4)+31-MOD(11*MOD(YEAR((N55+1)),19)+4-INT((7*MOD(YEAR((N55+1)),19)+1)/19),29),7)+31,25-MOD(11*MOD(YEAR((N55+1)),19)+4-INT((7*MOD(YEAR((N55+1)),19)+1)/19),29)-MOD(YEAR((N55+1))-1900+INT((YEAR((N55+1))-1900)/4)+31-MOD(11*MOD(YEAR((N55+1)),19)+4-INT((7*MOD(YEAR((N55+1)),19)+1)/19),29),7)))</f>
        <v>#VALUE!</v>
      </c>
      <c r="O65" s="256" t="e">
        <f>DATE(YEAR((N55+2)),IF((25-MOD(11*MOD(YEAR((N55+2)),19)+4-INT((7*MOD(YEAR((N55+2)),19)+1)/19),29)-MOD(YEAR((N55+2))-1900+INT((YEAR((N55+2))-1900)/4)+31-MOD(11*MOD(YEAR((N55+2)),19)+4-INT((7*MOD(YEAR((N55+2)),19)+1)/19),29),7))&lt;=0,3,4),IF(25-MOD(11*MOD(YEAR((N55+2)),19)+4-INT((7*MOD(YEAR((N55+2)),19)+1)/19),29)-MOD(YEAR((N55+2))-1900+INT((YEAR((N55+2))-1900)/4)+31-MOD(11*MOD(YEAR((N55+2)),19)+4-INT((7*MOD(YEAR((N55+2)),19)+1)/19),29),7)&lt;=0,25-MOD(11*MOD(YEAR((N55+2)),19)+4-INT((7*MOD(YEAR((N55+2)),19)+1)/19),29)-MOD(YEAR((N55+2))-1900+INT((YEAR((N55+2))-1900)/4)+31-MOD(11*MOD(YEAR((N55+2)),19)+4-INT((7*MOD(YEAR((N55+2)),19)+1)/19),29),7)+31,25-MOD(11*MOD(YEAR((N55+2)),19)+4-INT((7*MOD(YEAR((N55+2)),19)+1)/19),29)-MOD(YEAR((N55+2))-1900+INT((YEAR((N55+2))-1900)/4)+31-MOD(11*MOD(YEAR((N55+2)),19)+4-INT((7*MOD(YEAR((N55+2)),19)+1)/19),29),7)))</f>
        <v>#VALUE!</v>
      </c>
      <c r="P65" s="256" t="e">
        <f>DATE(YEAR(Q55),IF((25-MOD(11*MOD(YEAR(Q55),19)+4-INT((7*MOD(YEAR(Q55),19)+1)/19),29)-MOD(YEAR(Q55)-1900+INT((YEAR(Q55)-1900)/4)+31-MOD(11*MOD(YEAR(Q55),19)+4-INT((7*MOD(YEAR(Q55),19)+1)/19),29),7))&lt;=0,3,4),IF(25-MOD(11*MOD(YEAR(Q55),19)+4-INT((7*MOD(YEAR(Q55),19)+1)/19),29)-MOD(YEAR(Q55)-1900+INT((YEAR(Q55)-1900)/4)+31-MOD(11*MOD(YEAR(Q55),19)+4-INT((7*MOD(YEAR(Q55),19)+1)/19),29),7)&lt;=0,25-MOD(11*MOD(YEAR(Q55),19)+4-INT((7*MOD(YEAR(Q55),19)+1)/19),29)-MOD(YEAR(Q55)-1900+INT((YEAR(Q55)-1900)/4)+31-MOD(11*MOD(YEAR(Q55),19)+4-INT((7*MOD(YEAR(Q55),19)+1)/19),29),7)+31,25-MOD(11*MOD(YEAR(Q55),19)+4-INT((7*MOD(YEAR(Q55),19)+1)/19),29)-MOD(YEAR(Q55)-1900+INT((YEAR(Q55)-1900)/4)+31-MOD(11*MOD(YEAR(Q55),19)+4-INT((7*MOD(YEAR(Q55),19)+1)/19),29),7)))</f>
        <v>#VALUE!</v>
      </c>
      <c r="Q65" s="256" t="e">
        <f>DATE(YEAR((Q55+1)),IF((25-MOD(11*MOD(YEAR((Q55+1)),19)+4-INT((7*MOD(YEAR((Q55+1)),19)+1)/19),29)-MOD(YEAR((Q55+1))-1900+INT((YEAR((Q55+1))-1900)/4)+31-MOD(11*MOD(YEAR((Q55+1)),19)+4-INT((7*MOD(YEAR((Q55+1)),19)+1)/19),29),7))&lt;=0,3,4),IF(25-MOD(11*MOD(YEAR((Q55+1)),19)+4-INT((7*MOD(YEAR((Q55+1)),19)+1)/19),29)-MOD(YEAR((Q55+1))-1900+INT((YEAR((Q55+1))-1900)/4)+31-MOD(11*MOD(YEAR((Q55+1)),19)+4-INT((7*MOD(YEAR((Q55+1)),19)+1)/19),29),7)&lt;=0,25-MOD(11*MOD(YEAR((Q55+1)),19)+4-INT((7*MOD(YEAR((Q55+1)),19)+1)/19),29)-MOD(YEAR((Q55+1))-1900+INT((YEAR((Q55+1))-1900)/4)+31-MOD(11*MOD(YEAR((Q55+1)),19)+4-INT((7*MOD(YEAR((Q55+1)),19)+1)/19),29),7)+31,25-MOD(11*MOD(YEAR((Q55+1)),19)+4-INT((7*MOD(YEAR((Q55+1)),19)+1)/19),29)-MOD(YEAR((Q55+1))-1900+INT((YEAR((Q55+1))-1900)/4)+31-MOD(11*MOD(YEAR((Q55+1)),19)+4-INT((7*MOD(YEAR((Q55+1)),19)+1)/19),29),7)))</f>
        <v>#VALUE!</v>
      </c>
      <c r="R65" s="256" t="e">
        <f>DATE(YEAR((Q55+2)),IF((25-MOD(11*MOD(YEAR((Q55+2)),19)+4-INT((7*MOD(YEAR((Q55+2)),19)+1)/19),29)-MOD(YEAR((Q55+2))-1900+INT((YEAR((Q55+2))-1900)/4)+31-MOD(11*MOD(YEAR((Q55+2)),19)+4-INT((7*MOD(YEAR((Q55+2)),19)+1)/19),29),7))&lt;=0,3,4),IF(25-MOD(11*MOD(YEAR((Q55+2)),19)+4-INT((7*MOD(YEAR((Q55+2)),19)+1)/19),29)-MOD(YEAR((Q55+2))-1900+INT((YEAR((Q55+2))-1900)/4)+31-MOD(11*MOD(YEAR((Q55+2)),19)+4-INT((7*MOD(YEAR((Q55+2)),19)+1)/19),29),7)&lt;=0,25-MOD(11*MOD(YEAR((Q55+2)),19)+4-INT((7*MOD(YEAR((Q55+2)),19)+1)/19),29)-MOD(YEAR((Q55+2))-1900+INT((YEAR((Q55+2))-1900)/4)+31-MOD(11*MOD(YEAR((Q55+2)),19)+4-INT((7*MOD(YEAR((Q55+2)),19)+1)/19),29),7)+31,25-MOD(11*MOD(YEAR((Q55+2)),19)+4-INT((7*MOD(YEAR((Q55+2)),19)+1)/19),29)-MOD(YEAR((Q55+2))-1900+INT((YEAR((Q55+2))-1900)/4)+31-MOD(11*MOD(YEAR((Q55+2)),19)+4-INT((7*MOD(YEAR((Q55+2)),19)+1)/19),29),7)))</f>
        <v>#VALUE!</v>
      </c>
      <c r="S65" s="256" t="e">
        <f>DATE(YEAR(T55),IF((25-MOD(11*MOD(YEAR(T55),19)+4-INT((7*MOD(YEAR(T55),19)+1)/19),29)-MOD(YEAR(T55)-1900+INT((YEAR(T55)-1900)/4)+31-MOD(11*MOD(YEAR(T55),19)+4-INT((7*MOD(YEAR(T55),19)+1)/19),29),7))&lt;=0,3,4),IF(25-MOD(11*MOD(YEAR(T55),19)+4-INT((7*MOD(YEAR(T55),19)+1)/19),29)-MOD(YEAR(T55)-1900+INT((YEAR(T55)-1900)/4)+31-MOD(11*MOD(YEAR(T55),19)+4-INT((7*MOD(YEAR(T55),19)+1)/19),29),7)&lt;=0,25-MOD(11*MOD(YEAR(T55),19)+4-INT((7*MOD(YEAR(T55),19)+1)/19),29)-MOD(YEAR(T55)-1900+INT((YEAR(T55)-1900)/4)+31-MOD(11*MOD(YEAR(T55),19)+4-INT((7*MOD(YEAR(T55),19)+1)/19),29),7)+31,25-MOD(11*MOD(YEAR(T55),19)+4-INT((7*MOD(YEAR(T55),19)+1)/19),29)-MOD(YEAR(T55)-1900+INT((YEAR(T55)-1900)/4)+31-MOD(11*MOD(YEAR(T55),19)+4-INT((7*MOD(YEAR(T55),19)+1)/19),29),7)))</f>
        <v>#VALUE!</v>
      </c>
      <c r="T65" s="256" t="e">
        <f>DATE(YEAR((T55+1)),IF((25-MOD(11*MOD(YEAR((T55+1)),19)+4-INT((7*MOD(YEAR((T55+1)),19)+1)/19),29)-MOD(YEAR((T55+1))-1900+INT((YEAR((T55+1))-1900)/4)+31-MOD(11*MOD(YEAR((T55+1)),19)+4-INT((7*MOD(YEAR((T55+1)),19)+1)/19),29),7))&lt;=0,3,4),IF(25-MOD(11*MOD(YEAR((T55+1)),19)+4-INT((7*MOD(YEAR((T55+1)),19)+1)/19),29)-MOD(YEAR((T55+1))-1900+INT((YEAR((T55+1))-1900)/4)+31-MOD(11*MOD(YEAR((T55+1)),19)+4-INT((7*MOD(YEAR((T55+1)),19)+1)/19),29),7)&lt;=0,25-MOD(11*MOD(YEAR((T55+1)),19)+4-INT((7*MOD(YEAR((T55+1)),19)+1)/19),29)-MOD(YEAR((T55+1))-1900+INT((YEAR((T55+1))-1900)/4)+31-MOD(11*MOD(YEAR((T55+1)),19)+4-INT((7*MOD(YEAR((T55+1)),19)+1)/19),29),7)+31,25-MOD(11*MOD(YEAR((T55+1)),19)+4-INT((7*MOD(YEAR((T55+1)),19)+1)/19),29)-MOD(YEAR((T55+1))-1900+INT((YEAR((T55+1))-1900)/4)+31-MOD(11*MOD(YEAR((T55+1)),19)+4-INT((7*MOD(YEAR((T55+1)),19)+1)/19),29),7)))</f>
        <v>#VALUE!</v>
      </c>
      <c r="U65" s="256" t="e">
        <f>DATE(YEAR((T55+2)),IF((25-MOD(11*MOD(YEAR((T55+2)),19)+4-INT((7*MOD(YEAR((T55+2)),19)+1)/19),29)-MOD(YEAR((T55+2))-1900+INT((YEAR((T55+2))-1900)/4)+31-MOD(11*MOD(YEAR((T55+2)),19)+4-INT((7*MOD(YEAR((T55+2)),19)+1)/19),29),7))&lt;=0,3,4),IF(25-MOD(11*MOD(YEAR((T55+2)),19)+4-INT((7*MOD(YEAR((T55+2)),19)+1)/19),29)-MOD(YEAR((T55+2))-1900+INT((YEAR((T55+2))-1900)/4)+31-MOD(11*MOD(YEAR((T55+2)),19)+4-INT((7*MOD(YEAR((T55+2)),19)+1)/19),29),7)&lt;=0,25-MOD(11*MOD(YEAR((T55+2)),19)+4-INT((7*MOD(YEAR((T55+2)),19)+1)/19),29)-MOD(YEAR((T55+2))-1900+INT((YEAR((T55+2))-1900)/4)+31-MOD(11*MOD(YEAR((T55+2)),19)+4-INT((7*MOD(YEAR((T55+2)),19)+1)/19),29),7)+31,25-MOD(11*MOD(YEAR((T55+2)),19)+4-INT((7*MOD(YEAR((T55+2)),19)+1)/19),29)-MOD(YEAR((T55+2))-1900+INT((YEAR((T55+2))-1900)/4)+31-MOD(11*MOD(YEAR((T55+2)),19)+4-INT((7*MOD(YEAR((T55+2)),19)+1)/19),29),7)))</f>
        <v>#VALUE!</v>
      </c>
      <c r="V65" s="256" t="e">
        <f>DATE(YEAR(W55),IF((25-MOD(11*MOD(YEAR(W55),19)+4-INT((7*MOD(YEAR(W55),19)+1)/19),29)-MOD(YEAR(W55)-1900+INT((YEAR(W55)-1900)/4)+31-MOD(11*MOD(YEAR(W55),19)+4-INT((7*MOD(YEAR(W55),19)+1)/19),29),7))&lt;=0,3,4),IF(25-MOD(11*MOD(YEAR(W55),19)+4-INT((7*MOD(YEAR(W55),19)+1)/19),29)-MOD(YEAR(W55)-1900+INT((YEAR(W55)-1900)/4)+31-MOD(11*MOD(YEAR(W55),19)+4-INT((7*MOD(YEAR(W55),19)+1)/19),29),7)&lt;=0,25-MOD(11*MOD(YEAR(W55),19)+4-INT((7*MOD(YEAR(W55),19)+1)/19),29)-MOD(YEAR(W55)-1900+INT((YEAR(W55)-1900)/4)+31-MOD(11*MOD(YEAR(W55),19)+4-INT((7*MOD(YEAR(W55),19)+1)/19),29),7)+31,25-MOD(11*MOD(YEAR(W55),19)+4-INT((7*MOD(YEAR(W55),19)+1)/19),29)-MOD(YEAR(W55)-1900+INT((YEAR(W55)-1900)/4)+31-MOD(11*MOD(YEAR(W55),19)+4-INT((7*MOD(YEAR(W55),19)+1)/19),29),7)))</f>
        <v>#VALUE!</v>
      </c>
      <c r="W65" s="256" t="e">
        <f>DATE(YEAR((W55+1)),IF((25-MOD(11*MOD(YEAR((W55+1)),19)+4-INT((7*MOD(YEAR((W55+1)),19)+1)/19),29)-MOD(YEAR((W55+1))-1900+INT((YEAR((W55+1))-1900)/4)+31-MOD(11*MOD(YEAR((W55+1)),19)+4-INT((7*MOD(YEAR((W55+1)),19)+1)/19),29),7))&lt;=0,3,4),IF(25-MOD(11*MOD(YEAR((W55+1)),19)+4-INT((7*MOD(YEAR((W55+1)),19)+1)/19),29)-MOD(YEAR((W55+1))-1900+INT((YEAR((W55+1))-1900)/4)+31-MOD(11*MOD(YEAR((W55+1)),19)+4-INT((7*MOD(YEAR((W55+1)),19)+1)/19),29),7)&lt;=0,25-MOD(11*MOD(YEAR((W55+1)),19)+4-INT((7*MOD(YEAR((W55+1)),19)+1)/19),29)-MOD(YEAR((W55+1))-1900+INT((YEAR((W55+1))-1900)/4)+31-MOD(11*MOD(YEAR((W55+1)),19)+4-INT((7*MOD(YEAR((W55+1)),19)+1)/19),29),7)+31,25-MOD(11*MOD(YEAR((W55+1)),19)+4-INT((7*MOD(YEAR((W55+1)),19)+1)/19),29)-MOD(YEAR((W55+1))-1900+INT((YEAR((W55+1))-1900)/4)+31-MOD(11*MOD(YEAR((W55+1)),19)+4-INT((7*MOD(YEAR((W55+1)),19)+1)/19),29),7)))</f>
        <v>#VALUE!</v>
      </c>
      <c r="X65" s="256" t="e">
        <f>DATE(YEAR((W55+2)),IF((25-MOD(11*MOD(YEAR((W55+2)),19)+4-INT((7*MOD(YEAR((W55+2)),19)+1)/19),29)-MOD(YEAR((W55+2))-1900+INT((YEAR((W55+2))-1900)/4)+31-MOD(11*MOD(YEAR((W55+2)),19)+4-INT((7*MOD(YEAR((W55+2)),19)+1)/19),29),7))&lt;=0,3,4),IF(25-MOD(11*MOD(YEAR((W55+2)),19)+4-INT((7*MOD(YEAR((W55+2)),19)+1)/19),29)-MOD(YEAR((W55+2))-1900+INT((YEAR((W55+2))-1900)/4)+31-MOD(11*MOD(YEAR((W55+2)),19)+4-INT((7*MOD(YEAR((W55+2)),19)+1)/19),29),7)&lt;=0,25-MOD(11*MOD(YEAR((W55+2)),19)+4-INT((7*MOD(YEAR((W55+2)),19)+1)/19),29)-MOD(YEAR((W55+2))-1900+INT((YEAR((W55+2))-1900)/4)+31-MOD(11*MOD(YEAR((W55+2)),19)+4-INT((7*MOD(YEAR((W55+2)),19)+1)/19),29),7)+31,25-MOD(11*MOD(YEAR((W55+2)),19)+4-INT((7*MOD(YEAR((W55+2)),19)+1)/19),29)-MOD(YEAR((W55+2))-1900+INT((YEAR((W55+2))-1900)/4)+31-MOD(11*MOD(YEAR((W55+2)),19)+4-INT((7*MOD(YEAR((W55+2)),19)+1)/19),29),7)))</f>
        <v>#VALUE!</v>
      </c>
    </row>
    <row r="66" spans="12:24" ht="13.5" customHeight="1">
      <c r="L66" s="282" t="s">
        <v>46</v>
      </c>
      <c r="M66" s="89" t="e">
        <f t="shared" ref="M66:X66" si="8">M65+1</f>
        <v>#VALUE!</v>
      </c>
      <c r="N66" s="110" t="e">
        <f t="shared" si="8"/>
        <v>#VALUE!</v>
      </c>
      <c r="O66" s="90" t="e">
        <f t="shared" si="8"/>
        <v>#VALUE!</v>
      </c>
      <c r="P66" s="89" t="e">
        <f t="shared" si="8"/>
        <v>#VALUE!</v>
      </c>
      <c r="Q66" s="110" t="e">
        <f t="shared" si="8"/>
        <v>#VALUE!</v>
      </c>
      <c r="R66" s="90" t="e">
        <f t="shared" si="8"/>
        <v>#VALUE!</v>
      </c>
      <c r="S66" s="89" t="e">
        <f t="shared" si="8"/>
        <v>#VALUE!</v>
      </c>
      <c r="T66" s="110" t="e">
        <f t="shared" si="8"/>
        <v>#VALUE!</v>
      </c>
      <c r="U66" s="90" t="e">
        <f t="shared" si="8"/>
        <v>#VALUE!</v>
      </c>
      <c r="V66" s="89" t="e">
        <f t="shared" si="8"/>
        <v>#VALUE!</v>
      </c>
      <c r="W66" s="110" t="e">
        <f t="shared" si="8"/>
        <v>#VALUE!</v>
      </c>
      <c r="X66" s="90" t="e">
        <f t="shared" si="8"/>
        <v>#VALUE!</v>
      </c>
    </row>
    <row r="67" spans="12:24" ht="13.5" customHeight="1">
      <c r="L67" s="282" t="s">
        <v>49</v>
      </c>
      <c r="M67" s="89" t="e">
        <f>M65+39</f>
        <v>#VALUE!</v>
      </c>
      <c r="N67" s="110" t="e">
        <f>N65+39</f>
        <v>#VALUE!</v>
      </c>
      <c r="O67" s="90" t="e">
        <f>O65+39</f>
        <v>#VALUE!</v>
      </c>
      <c r="P67" s="89" t="e">
        <f t="shared" ref="P67:X67" si="9">P65+39</f>
        <v>#VALUE!</v>
      </c>
      <c r="Q67" s="110" t="e">
        <f t="shared" si="9"/>
        <v>#VALUE!</v>
      </c>
      <c r="R67" s="90" t="e">
        <f t="shared" si="9"/>
        <v>#VALUE!</v>
      </c>
      <c r="S67" s="89" t="e">
        <f t="shared" si="9"/>
        <v>#VALUE!</v>
      </c>
      <c r="T67" s="110" t="e">
        <f t="shared" si="9"/>
        <v>#VALUE!</v>
      </c>
      <c r="U67" s="90" t="e">
        <f t="shared" si="9"/>
        <v>#VALUE!</v>
      </c>
      <c r="V67" s="89" t="e">
        <f t="shared" si="9"/>
        <v>#VALUE!</v>
      </c>
      <c r="W67" s="110" t="e">
        <f t="shared" si="9"/>
        <v>#VALUE!</v>
      </c>
      <c r="X67" s="90" t="e">
        <f t="shared" si="9"/>
        <v>#VALUE!</v>
      </c>
    </row>
    <row r="68" spans="12:24" ht="13.5" customHeight="1">
      <c r="L68" s="282" t="s">
        <v>53</v>
      </c>
      <c r="M68" s="279" t="e">
        <f>M65+50</f>
        <v>#VALUE!</v>
      </c>
      <c r="N68" s="280" t="e">
        <f>N65+50</f>
        <v>#VALUE!</v>
      </c>
      <c r="O68" s="281" t="e">
        <f>O65+50</f>
        <v>#VALUE!</v>
      </c>
      <c r="P68" s="279" t="e">
        <f t="shared" ref="P68:X68" si="10">P65+50</f>
        <v>#VALUE!</v>
      </c>
      <c r="Q68" s="280" t="e">
        <f t="shared" si="10"/>
        <v>#VALUE!</v>
      </c>
      <c r="R68" s="281" t="e">
        <f t="shared" si="10"/>
        <v>#VALUE!</v>
      </c>
      <c r="S68" s="279" t="e">
        <f t="shared" si="10"/>
        <v>#VALUE!</v>
      </c>
      <c r="T68" s="280" t="e">
        <f t="shared" si="10"/>
        <v>#VALUE!</v>
      </c>
      <c r="U68" s="281" t="e">
        <f t="shared" si="10"/>
        <v>#VALUE!</v>
      </c>
      <c r="V68" s="279" t="e">
        <f t="shared" si="10"/>
        <v>#VALUE!</v>
      </c>
      <c r="W68" s="280" t="e">
        <f t="shared" si="10"/>
        <v>#VALUE!</v>
      </c>
      <c r="X68" s="281" t="e">
        <f t="shared" si="10"/>
        <v>#VALUE!</v>
      </c>
    </row>
    <row r="69" spans="12:24" ht="13.5" customHeight="1">
      <c r="L69" s="47" t="s">
        <v>35</v>
      </c>
      <c r="M69" s="92" t="e">
        <f>IF(N55&lt;&gt;M66,IF(N55&lt;&gt;M67,IF(N55&lt;&gt;M68,0,1),1),1)</f>
        <v>#VALUE!</v>
      </c>
      <c r="N69" s="93" t="e">
        <f>IF(N55+1&lt;&gt;N66,IF(N55+1&lt;&gt;N67,IF(N55+1&lt;&gt;N68,0,1),1),1)</f>
        <v>#VALUE!</v>
      </c>
      <c r="O69" s="94" t="e">
        <f>IF(N55+2&lt;&gt;O66,IF(N55+2&lt;&gt;O67,IF(N55+2&lt;&gt;O68,0,1),1),1)</f>
        <v>#VALUE!</v>
      </c>
      <c r="P69" s="92" t="e">
        <f>IF(Q55&lt;&gt;P66,IF(Q55&lt;&gt;P67,IF(Q55&lt;&gt;P68,0,1),1),1)</f>
        <v>#VALUE!</v>
      </c>
      <c r="Q69" s="93" t="e">
        <f>IF(Q55+1&lt;&gt;Q66,IF(Q55+1&lt;&gt;Q67,IF(Q55+1&lt;&gt;Q68,0,1),1),1)</f>
        <v>#VALUE!</v>
      </c>
      <c r="R69" s="94" t="e">
        <f>IF(Q55+2&lt;&gt;R66,IF(Q55+2&lt;&gt;R67,IF(Q55+2&lt;&gt;R68,0,1),1),1)</f>
        <v>#VALUE!</v>
      </c>
      <c r="S69" s="92" t="e">
        <f>IF(T55&lt;&gt;S66,IF(T55&lt;&gt;S67,IF(T55&lt;&gt;S68,0,1),1),1)</f>
        <v>#VALUE!</v>
      </c>
      <c r="T69" s="93" t="e">
        <f>IF(T55+1&lt;&gt;T66,IF(T55+1&lt;&gt;T67,IF(T55+1&lt;&gt;T68,0,1),1),1)</f>
        <v>#VALUE!</v>
      </c>
      <c r="U69" s="94" t="e">
        <f>IF(T55+2&lt;&gt;U66,IF(T55+2&lt;&gt;U67,IF(T55+2&lt;&gt;U68,0,1),1),1)</f>
        <v>#VALUE!</v>
      </c>
      <c r="V69" s="92" t="e">
        <f>IF(W55&lt;&gt;V66,IF(W55&lt;&gt;V67,IF(W55&lt;&gt;V68,0,1),1),1)</f>
        <v>#VALUE!</v>
      </c>
      <c r="W69" s="93" t="e">
        <f>IF(W55+1&lt;&gt;W66,IF(W55+1&lt;&gt;W67,IF(W55+1&lt;&gt;W68,0,1),1),1)</f>
        <v>#VALUE!</v>
      </c>
      <c r="X69" s="94" t="e">
        <f>IF(W55+2&lt;&gt;X66,IF(W55+2&lt;&gt;X67,IF(W55+2&lt;&gt;X68,0,1),1),1)</f>
        <v>#VALUE!</v>
      </c>
    </row>
    <row r="70" spans="12:24" ht="13.5" customHeight="1">
      <c r="L70" s="47" t="s">
        <v>57</v>
      </c>
      <c r="M70" s="95" t="e">
        <f t="shared" ref="M70:X70" si="11">IF(OR(M64=1,M69=1),1,0)</f>
        <v>#VALUE!</v>
      </c>
      <c r="N70" s="96" t="e">
        <f t="shared" si="11"/>
        <v>#VALUE!</v>
      </c>
      <c r="O70" s="97" t="e">
        <f t="shared" si="11"/>
        <v>#VALUE!</v>
      </c>
      <c r="P70" s="95" t="e">
        <f t="shared" si="11"/>
        <v>#VALUE!</v>
      </c>
      <c r="Q70" s="96" t="e">
        <f t="shared" si="11"/>
        <v>#VALUE!</v>
      </c>
      <c r="R70" s="97" t="e">
        <f t="shared" si="11"/>
        <v>#VALUE!</v>
      </c>
      <c r="S70" s="95" t="e">
        <f t="shared" si="11"/>
        <v>#VALUE!</v>
      </c>
      <c r="T70" s="96" t="e">
        <f t="shared" si="11"/>
        <v>#VALUE!</v>
      </c>
      <c r="U70" s="97" t="e">
        <f t="shared" si="11"/>
        <v>#VALUE!</v>
      </c>
      <c r="V70" s="95" t="e">
        <f t="shared" si="11"/>
        <v>#VALUE!</v>
      </c>
      <c r="W70" s="96" t="e">
        <f t="shared" si="11"/>
        <v>#VALUE!</v>
      </c>
      <c r="X70" s="97" t="e">
        <f t="shared" si="11"/>
        <v>#VALUE!</v>
      </c>
    </row>
    <row r="71" spans="12:24" ht="13.5" customHeight="1">
      <c r="L71" s="282"/>
    </row>
    <row r="72" spans="12:24" ht="13.5" customHeight="1">
      <c r="L72" s="19" t="s">
        <v>63</v>
      </c>
      <c r="M72" s="101" t="e">
        <f>IF(AND(O55&lt;&gt;"samedi",O55&lt;&gt;"dimanche"),IF(AND(M70=1,O55="vendredi"),3,IF(AND(M70=1,O55="samedi"),2,IF(M70=1,1,0))),IF(AND(O55="samedi",O70=1),3,IF(O55="samedi",2,IF(AND(O55="dimanche",N70=1),2,1))))</f>
        <v>#VALUE!</v>
      </c>
      <c r="N72" s="277"/>
      <c r="O72" s="277"/>
      <c r="P72" s="101" t="e">
        <f>IF(AND(R55&lt;&gt;"samedi",R55&lt;&gt;"dimanche"),IF(AND(P70=1,R55="vendredi"),3,IF(AND(P70=1,R55="samedi"),2,IF(P70=1,1,0))),IF(AND(R55="samedi",R70=1),3,IF(R55="samedi",2,IF(AND(R55="dimanche",Q70=1),2,1))))</f>
        <v>#VALUE!</v>
      </c>
      <c r="Q72" s="277"/>
      <c r="R72" s="277"/>
      <c r="S72" s="101" t="e">
        <f>IF(AND(U55&lt;&gt;"samedi",U55&lt;&gt;"dimanche"),IF(AND(S70=1,U55="vendredi"),3,IF(AND(S70=1,U55="samedi"),2,IF(S70=1,1,0))),IF(AND(U55="samedi",U70=1),3,IF(U55="samedi",2,IF(AND(U55="dimanche",T70=1),2,1))))</f>
        <v>#VALUE!</v>
      </c>
      <c r="T72" s="277"/>
      <c r="U72" s="277"/>
      <c r="V72" s="101" t="e">
        <f>IF(AND(X55&lt;&gt;"samedi",X55&lt;&gt;"dimanche"),IF(AND(V70=1,X55="vendredi"),3,IF(AND(V70=1,X55="samedi"),2,IF(V70=1,1,0))),IF(AND(X55="samedi",X70=1),3,IF(X55="samedi",2,IF(AND(X55="dimanche",W70=1),2,1))))</f>
        <v>#VALUE!</v>
      </c>
      <c r="W72" s="277"/>
      <c r="X72" s="277"/>
    </row>
    <row r="73" spans="12:24" ht="13.5" customHeight="1"/>
    <row r="74" spans="12:24" ht="13.5" customHeight="1"/>
    <row r="75" spans="12:24" ht="13.5" customHeight="1"/>
    <row r="76" spans="12:24" ht="13.5" customHeight="1"/>
    <row r="77" spans="12:24" ht="13.5" customHeight="1"/>
    <row r="78" spans="12:24" ht="13.5" customHeight="1"/>
    <row r="79" spans="12:24" ht="13.5" customHeight="1"/>
    <row r="80" spans="12:24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</sheetData>
  <sheetProtection sheet="1" objects="1" scenarios="1"/>
  <mergeCells count="17">
    <mergeCell ref="B7:G7"/>
    <mergeCell ref="B13:D13"/>
    <mergeCell ref="F14:G14"/>
    <mergeCell ref="F18:G18"/>
    <mergeCell ref="F19:G19"/>
    <mergeCell ref="F30:G30"/>
    <mergeCell ref="F31:G31"/>
    <mergeCell ref="B25:D25"/>
    <mergeCell ref="F26:G26"/>
    <mergeCell ref="F55:G55"/>
    <mergeCell ref="B49:D49"/>
    <mergeCell ref="F50:G50"/>
    <mergeCell ref="F54:G54"/>
    <mergeCell ref="B37:D37"/>
    <mergeCell ref="F38:G38"/>
    <mergeCell ref="F42:G42"/>
    <mergeCell ref="F43:G43"/>
  </mergeCells>
  <conditionalFormatting sqref="D16 D40 D28 D52">
    <cfRule type="cellIs" dxfId="26" priority="1" stopIfTrue="1" operator="greaterThan">
      <formula>D15</formula>
    </cfRule>
  </conditionalFormatting>
  <conditionalFormatting sqref="A13 A25 A37 A49">
    <cfRule type="cellIs" dxfId="25" priority="2" stopIfTrue="1" operator="equal">
      <formula>""</formula>
    </cfRule>
  </conditionalFormatting>
  <conditionalFormatting sqref="D21 D45 D33 D57">
    <cfRule type="cellIs" dxfId="24" priority="3" stopIfTrue="1" operator="equal">
      <formula>""</formula>
    </cfRule>
  </conditionalFormatting>
  <conditionalFormatting sqref="B18 B42 B30 B54">
    <cfRule type="expression" dxfId="23" priority="4" stopIfTrue="1">
      <formula>MAX(I17,I21)&lt;&gt;0</formula>
    </cfRule>
  </conditionalFormatting>
  <conditionalFormatting sqref="C18 C30 C42 C54">
    <cfRule type="expression" dxfId="22" priority="5" stopIfTrue="1">
      <formula>MAX(I17,I21)&lt;&gt;0</formula>
    </cfRule>
  </conditionalFormatting>
  <conditionalFormatting sqref="B19 B31 B43 B55">
    <cfRule type="expression" dxfId="21" priority="6" stopIfTrue="1">
      <formula>MAX(I17,I21)&lt;&gt;0</formula>
    </cfRule>
  </conditionalFormatting>
  <conditionalFormatting sqref="C19 C31 C43 C55">
    <cfRule type="expression" dxfId="20" priority="7" stopIfTrue="1">
      <formula>MAX(I17,I21)&lt;&gt;0</formula>
    </cfRule>
  </conditionalFormatting>
  <conditionalFormatting sqref="F19:G19 F31:G31 F43:G43 F55:G55">
    <cfRule type="cellIs" dxfId="19" priority="8" stopIfTrue="1" operator="notEqual">
      <formula>""</formula>
    </cfRule>
  </conditionalFormatting>
  <conditionalFormatting sqref="F18 F30 F42 F54">
    <cfRule type="expression" dxfId="18" priority="9" stopIfTrue="1">
      <formula>J7&gt;0</formula>
    </cfRule>
  </conditionalFormatting>
  <conditionalFormatting sqref="C34 C46 C22 C58">
    <cfRule type="expression" dxfId="17" priority="10" stopIfTrue="1">
      <formula>AND(C22&lt;&gt;"",C22&lt;C17)</formula>
    </cfRule>
  </conditionalFormatting>
  <conditionalFormatting sqref="C45 C33 C21 C57">
    <cfRule type="expression" dxfId="16" priority="11" stopIfTrue="1">
      <formula>AND(C21&lt;&gt;"",C21&lt;C17)</formula>
    </cfRule>
  </conditionalFormatting>
  <conditionalFormatting sqref="B16 B28 B40 B52">
    <cfRule type="expression" dxfId="15" priority="12" stopIfTrue="1">
      <formula>(B21-B22)&lt;5</formula>
    </cfRule>
  </conditionalFormatting>
  <conditionalFormatting sqref="C16 C28 C40 C52">
    <cfRule type="cellIs" dxfId="14" priority="13" stopIfTrue="1" operator="lessThan">
      <formula>C15</formula>
    </cfRule>
  </conditionalFormatting>
  <printOptions horizontalCentered="1"/>
  <pageMargins left="0.59055118110236227" right="0.59055118110236227" top="0.78740157480314965" bottom="0.78740157480314965" header="0.51181102362204722" footer="0.51181102362204722"/>
  <pageSetup paperSize="9" scale="95" fitToHeight="2" orientation="portrait" r:id="rId1"/>
  <headerFooter alignWithMargins="0">
    <oddHeader>&amp;L&amp;"Bookman Old Style,Gras"&amp;8&amp;UDécret du 11 mars 1999&amp;C&amp;"Bookman Old Style,Gras"Délais 1&amp;Xère&amp;X instance&amp;R&amp;"Arial,Gras italique"&amp;8Enquêtes multiples en plans modificatifs</oddHeader>
    <oddFooter xml:space="preserve">&amp;L&amp;"Cambria,Normal"&amp;8Feuille créée à partir de l'application RGPE&amp;C&amp;"Calibri,Normal"&amp;8Dossiers introduits à partir du 4/12/2011
(Décret programme du 27/10/2011)&amp;R&amp;"Comic Sans MS,Gras"&amp;8Imprimé le &amp;D 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Feuil4">
    <pageSetUpPr fitToPage="1"/>
  </sheetPr>
  <dimension ref="A1:AC57"/>
  <sheetViews>
    <sheetView workbookViewId="0">
      <selection activeCell="G1" sqref="G1"/>
    </sheetView>
  </sheetViews>
  <sheetFormatPr baseColWidth="10" defaultRowHeight="12.75"/>
  <cols>
    <col min="1" max="1" width="24" customWidth="1"/>
    <col min="2" max="2" width="15.7109375" customWidth="1"/>
    <col min="3" max="3" width="12.140625" customWidth="1"/>
    <col min="4" max="5" width="11" customWidth="1"/>
    <col min="6" max="6" width="12" customWidth="1"/>
    <col min="7" max="7" width="14.7109375" customWidth="1"/>
    <col min="9" max="9" width="11.42578125" hidden="1" customWidth="1"/>
    <col min="10" max="10" width="18.85546875" hidden="1" customWidth="1"/>
    <col min="11" max="11" width="15" hidden="1" customWidth="1"/>
    <col min="12" max="12" width="10.28515625" hidden="1" customWidth="1"/>
    <col min="13" max="14" width="10.7109375" hidden="1" customWidth="1"/>
    <col min="15" max="15" width="12.28515625" hidden="1" customWidth="1"/>
    <col min="16" max="18" width="10.7109375" hidden="1" customWidth="1"/>
    <col min="19" max="19" width="11.7109375" hidden="1" customWidth="1"/>
    <col min="20" max="20" width="5.7109375" hidden="1" customWidth="1"/>
    <col min="21" max="29" width="11.42578125" hidden="1" customWidth="1"/>
  </cols>
  <sheetData>
    <row r="1" spans="1:29" ht="13.5" customHeight="1">
      <c r="A1" s="1" t="s">
        <v>0</v>
      </c>
      <c r="B1" s="76" t="str">
        <f>IF(Demande!L71=TRUE,IF(Demande!B1&lt;&gt;"",Demande!B1,""),"")</f>
        <v/>
      </c>
      <c r="C1" s="76"/>
      <c r="D1" s="76"/>
      <c r="E1" s="76"/>
      <c r="F1" s="141" t="s">
        <v>976</v>
      </c>
      <c r="G1" s="142" t="str">
        <f>IF(Demande!L71=TRUE,IF(Demande!G1&lt;&gt;"",Demande!G1,""),"")</f>
        <v/>
      </c>
      <c r="I1" s="25"/>
    </row>
    <row r="2" spans="1:29" ht="13.5" customHeight="1">
      <c r="A2" s="2" t="s">
        <v>1</v>
      </c>
      <c r="B2" s="5" t="str">
        <f>IF(Demande!L71=TRUE,IF(Demande!B2&lt;&gt;"",Demande!B2,""),"")</f>
        <v/>
      </c>
      <c r="C2" s="5"/>
      <c r="D2" s="5"/>
      <c r="E2" s="5"/>
      <c r="F2" s="5"/>
      <c r="G2" s="5"/>
    </row>
    <row r="3" spans="1:29" ht="13.5" customHeight="1">
      <c r="A3" s="4" t="s">
        <v>2</v>
      </c>
      <c r="B3" s="5" t="str">
        <f>IF(Demande!L71=TRUE,IF(Demande!B3&lt;&gt;"",Demande!B3,""),"")</f>
        <v/>
      </c>
      <c r="C3" s="5"/>
      <c r="D3" s="5"/>
      <c r="E3" s="5"/>
      <c r="F3" s="5"/>
      <c r="G3" s="5"/>
    </row>
    <row r="4" spans="1:29" ht="13.5" customHeight="1">
      <c r="A4" s="4" t="s">
        <v>3</v>
      </c>
      <c r="B4" s="5" t="str">
        <f>IF(Demande!L71=TRUE,IF(Demande!B4&lt;&gt;"",Demande!B4,""),"")</f>
        <v/>
      </c>
      <c r="C4" s="5"/>
      <c r="D4" s="5"/>
      <c r="E4" s="5"/>
      <c r="F4" s="5"/>
      <c r="G4" s="5"/>
      <c r="I4" s="8"/>
    </row>
    <row r="5" spans="1:29" ht="13.5" customHeight="1">
      <c r="A5" s="4" t="s">
        <v>5</v>
      </c>
      <c r="B5" s="5" t="str">
        <f>IF(Demande!L71=TRUE,IF(Demande!B5&lt;&gt;"",Demande!B5,""),"")</f>
        <v/>
      </c>
      <c r="C5" s="5"/>
      <c r="D5" s="5"/>
      <c r="E5" s="5"/>
      <c r="F5" s="5"/>
      <c r="G5" s="5"/>
    </row>
    <row r="6" spans="1:29" ht="27" customHeight="1">
      <c r="A6" s="11" t="s">
        <v>7</v>
      </c>
      <c r="B6" s="390" t="str">
        <f>IF(Demande!L71=TRUE,IF(Demande!B6&lt;&gt;"",Demande!B6,""),"")</f>
        <v/>
      </c>
      <c r="C6" s="374"/>
      <c r="D6" s="374"/>
      <c r="E6" s="374"/>
      <c r="F6" s="374"/>
      <c r="G6" s="374"/>
    </row>
    <row r="7" spans="1:29" ht="15" customHeight="1"/>
    <row r="9" spans="1:29" ht="15" customHeight="1">
      <c r="K9" s="180" t="s">
        <v>78</v>
      </c>
      <c r="L9" s="81"/>
      <c r="M9" s="188"/>
      <c r="N9" s="180" t="s">
        <v>79</v>
      </c>
      <c r="O9" s="81"/>
      <c r="P9" s="188"/>
      <c r="Q9" s="180" t="s">
        <v>80</v>
      </c>
      <c r="R9" s="81"/>
      <c r="S9" s="188"/>
      <c r="U9" s="180" t="s">
        <v>987</v>
      </c>
      <c r="V9" s="81"/>
      <c r="W9" s="188"/>
      <c r="X9" s="180" t="s">
        <v>988</v>
      </c>
      <c r="Y9" s="81"/>
      <c r="Z9" s="188"/>
      <c r="AA9" s="180" t="s">
        <v>989</v>
      </c>
      <c r="AB9" s="81"/>
      <c r="AC9" s="188"/>
    </row>
    <row r="10" spans="1:29" ht="17.45" customHeight="1">
      <c r="A10" s="77" t="str">
        <f>IF(Demande!L79=1,"Date ultime d'envoi du rapport :","Date ultime d'envoi de la décision :")</f>
        <v>Date ultime d'envoi du rapport :</v>
      </c>
      <c r="B10" s="77"/>
      <c r="C10" s="78" t="s">
        <v>24</v>
      </c>
      <c r="D10" s="400" t="str">
        <f>IF(Demande!L71=TRUE,IF(Demande!F31&lt;&gt;"",IF(Demande!F35&lt;&gt;"",Demande!F35,Demande!F30),IF(Demande!L79=2, IF(Demande!G30&lt;&gt;"",Demande!G30,""),"")),"Sans objet")</f>
        <v>Sans objet</v>
      </c>
      <c r="E10" s="400"/>
      <c r="F10" s="79" t="str">
        <f>IF(D10&lt;&gt;"",IF(D10&lt;&gt;"Sans objet",TEXT(D10,"jjjj"),""),"")</f>
        <v/>
      </c>
      <c r="G10" s="80"/>
      <c r="K10" s="181" t="s">
        <v>81</v>
      </c>
      <c r="L10" s="25" t="e">
        <f>IF(D10&lt;&gt;"",D12-B33,"")</f>
        <v>#VALUE!</v>
      </c>
      <c r="M10" s="189" t="e">
        <f>(TEXT(L10,"jjjj"))</f>
        <v>#VALUE!</v>
      </c>
      <c r="N10" s="181" t="s">
        <v>81</v>
      </c>
      <c r="O10" s="25" t="e">
        <f>IF(D10&lt;&gt;"",D13-B32,"")</f>
        <v>#VALUE!</v>
      </c>
      <c r="P10" s="189" t="e">
        <f>(TEXT(O10,"jjjj"))</f>
        <v>#VALUE!</v>
      </c>
      <c r="Q10" s="181" t="s">
        <v>81</v>
      </c>
      <c r="R10" s="25" t="e">
        <f>IF(D10&lt;&gt;"",D10-B31,"")</f>
        <v>#VALUE!</v>
      </c>
      <c r="S10" s="189" t="e">
        <f>(TEXT(R10,"jjjj"))</f>
        <v>#VALUE!</v>
      </c>
      <c r="U10" s="181" t="s">
        <v>81</v>
      </c>
      <c r="V10" s="25" t="str">
        <f>IF(D19&lt;&gt;"",D21-B33,"")</f>
        <v/>
      </c>
      <c r="W10" s="189" t="str">
        <f>(TEXT(V10,"jjjj"))</f>
        <v/>
      </c>
      <c r="X10" s="181" t="s">
        <v>81</v>
      </c>
      <c r="Y10" s="25" t="str">
        <f>IF(D19&lt;&gt;"",D22-B32,"")</f>
        <v/>
      </c>
      <c r="Z10" s="189" t="str">
        <f>(TEXT(Y10,"jjjj"))</f>
        <v/>
      </c>
      <c r="AA10" s="181" t="s">
        <v>81</v>
      </c>
      <c r="AB10" s="25" t="str">
        <f>IF(D19&lt;&gt;"",D19-B31,"")</f>
        <v/>
      </c>
      <c r="AC10" s="189" t="str">
        <f>(TEXT(AB10,"jjjj"))</f>
        <v/>
      </c>
    </row>
    <row r="11" spans="1:29" ht="17.45" customHeight="1">
      <c r="A11" s="77" t="s">
        <v>82</v>
      </c>
      <c r="B11" s="77"/>
      <c r="C11" s="84" t="s">
        <v>83</v>
      </c>
      <c r="D11" s="401" t="str">
        <f>IF(D10&lt;&gt;"",IF(Demande!L71=TRUE,L26,"Sans objet"),"")</f>
        <v>Sans objet</v>
      </c>
      <c r="E11" s="401"/>
      <c r="F11" s="79" t="str">
        <f>IF(D10&lt;&gt;"",IF(D10&lt;&gt;"Sans objet",TEXT(D11,"jjjj"),""),"")</f>
        <v/>
      </c>
      <c r="G11" s="80"/>
      <c r="I11" s="29" t="b">
        <v>0</v>
      </c>
      <c r="K11" s="85" t="s">
        <v>24</v>
      </c>
      <c r="L11" s="86" t="s">
        <v>84</v>
      </c>
      <c r="M11" s="87" t="s">
        <v>85</v>
      </c>
      <c r="N11" s="85" t="s">
        <v>24</v>
      </c>
      <c r="O11" s="86" t="s">
        <v>84</v>
      </c>
      <c r="P11" s="87" t="s">
        <v>85</v>
      </c>
      <c r="Q11" s="85" t="s">
        <v>24</v>
      </c>
      <c r="R11" s="86" t="s">
        <v>84</v>
      </c>
      <c r="S11" s="87" t="s">
        <v>85</v>
      </c>
      <c r="U11" s="85" t="s">
        <v>24</v>
      </c>
      <c r="V11" s="86" t="s">
        <v>84</v>
      </c>
      <c r="W11" s="87" t="s">
        <v>85</v>
      </c>
      <c r="X11" s="85" t="s">
        <v>24</v>
      </c>
      <c r="Y11" s="86" t="s">
        <v>84</v>
      </c>
      <c r="Z11" s="87" t="s">
        <v>85</v>
      </c>
      <c r="AA11" s="85" t="s">
        <v>24</v>
      </c>
      <c r="AB11" s="86" t="s">
        <v>84</v>
      </c>
      <c r="AC11" s="87" t="s">
        <v>85</v>
      </c>
    </row>
    <row r="12" spans="1:29" ht="17.45" customHeight="1">
      <c r="A12" s="77" t="s">
        <v>86</v>
      </c>
      <c r="B12" s="77"/>
      <c r="C12" s="84" t="s">
        <v>87</v>
      </c>
      <c r="D12" s="401" t="str">
        <f>IF(D10&lt;&gt;"",IF(Demande!L71=TRUE,O26,"Sans objet"),"")</f>
        <v>Sans objet</v>
      </c>
      <c r="E12" s="401"/>
      <c r="F12" s="79" t="str">
        <f>IF(D10&lt;&gt;"",IF(D10&lt;&gt;"Sans objet",TEXT(D12,"jjjj"),""),"")</f>
        <v/>
      </c>
      <c r="G12" s="80"/>
      <c r="I12" s="29" t="b">
        <v>0</v>
      </c>
      <c r="J12" s="88">
        <v>38353</v>
      </c>
      <c r="K12" s="89" t="e">
        <f>DATE(YEAR(L10),1,1)</f>
        <v>#VALUE!</v>
      </c>
      <c r="L12" s="82" t="e">
        <f>DATE(YEAR(L10-1),1,1)</f>
        <v>#VALUE!</v>
      </c>
      <c r="M12" s="90" t="e">
        <f>DATE(YEAR(L10-2),1,1)</f>
        <v>#VALUE!</v>
      </c>
      <c r="N12" s="89" t="e">
        <f>DATE(YEAR(O10),1,1)</f>
        <v>#VALUE!</v>
      </c>
      <c r="O12" s="82" t="e">
        <f>DATE(YEAR(O10-1),1,1)</f>
        <v>#VALUE!</v>
      </c>
      <c r="P12" s="90" t="e">
        <f>DATE(YEAR(O10-2),1,1)</f>
        <v>#VALUE!</v>
      </c>
      <c r="Q12" s="89" t="e">
        <f>DATE(YEAR(R10),1,1)</f>
        <v>#VALUE!</v>
      </c>
      <c r="R12" s="82" t="e">
        <f>DATE(YEAR(R10-1),1,1)</f>
        <v>#VALUE!</v>
      </c>
      <c r="S12" s="90" t="e">
        <f>DATE(YEAR(R10-2),1,1)</f>
        <v>#VALUE!</v>
      </c>
      <c r="U12" s="89" t="e">
        <f>DATE(YEAR(V10),1,1)</f>
        <v>#VALUE!</v>
      </c>
      <c r="V12" s="82" t="e">
        <f>DATE(YEAR(V10-1),1,1)</f>
        <v>#VALUE!</v>
      </c>
      <c r="W12" s="90" t="e">
        <f>DATE(YEAR(V10-2),1,1)</f>
        <v>#VALUE!</v>
      </c>
      <c r="X12" s="89" t="e">
        <f>DATE(YEAR(Y10),1,1)</f>
        <v>#VALUE!</v>
      </c>
      <c r="Y12" s="82" t="e">
        <f>DATE(YEAR(Y10-1),1,1)</f>
        <v>#VALUE!</v>
      </c>
      <c r="Z12" s="90" t="e">
        <f>DATE(YEAR(Y10-2),1,1)</f>
        <v>#VALUE!</v>
      </c>
      <c r="AA12" s="89" t="e">
        <f>DATE(YEAR(AB10),1,1)</f>
        <v>#VALUE!</v>
      </c>
      <c r="AB12" s="82" t="e">
        <f>DATE(YEAR(AB10-1),1,1)</f>
        <v>#VALUE!</v>
      </c>
      <c r="AC12" s="90" t="e">
        <f>DATE(YEAR(AB10-2),1,1)</f>
        <v>#VALUE!</v>
      </c>
    </row>
    <row r="13" spans="1:29" ht="17.45" customHeight="1">
      <c r="A13" s="77" t="s">
        <v>88</v>
      </c>
      <c r="B13" s="77"/>
      <c r="C13" s="84" t="s">
        <v>89</v>
      </c>
      <c r="D13" s="401" t="str">
        <f>IF(D10&lt;&gt;"",IF(Demande!L71=TRUE,R26,"Sans objet"),"")</f>
        <v>Sans objet</v>
      </c>
      <c r="E13" s="401"/>
      <c r="F13" s="79" t="str">
        <f>IF(D10&lt;&gt;"",IF(D10&lt;&gt;"Sans objet",TEXT(D13,"jjjj"),""),"")</f>
        <v/>
      </c>
      <c r="I13" s="29" t="b">
        <v>0</v>
      </c>
      <c r="J13" s="88">
        <v>37742</v>
      </c>
      <c r="K13" s="89" t="e">
        <f>DATE(YEAR(L10),5,1)</f>
        <v>#VALUE!</v>
      </c>
      <c r="L13" s="82" t="e">
        <f>DATE(YEAR(L10-1),5,1)</f>
        <v>#VALUE!</v>
      </c>
      <c r="M13" s="90" t="e">
        <f>DATE(YEAR(L10-2),5,1)</f>
        <v>#VALUE!</v>
      </c>
      <c r="N13" s="89" t="e">
        <f>DATE(YEAR(O10),5,1)</f>
        <v>#VALUE!</v>
      </c>
      <c r="O13" s="82" t="e">
        <f>DATE(YEAR(O10-1),5,1)</f>
        <v>#VALUE!</v>
      </c>
      <c r="P13" s="90" t="e">
        <f>DATE(YEAR(O10-2),5,1)</f>
        <v>#VALUE!</v>
      </c>
      <c r="Q13" s="89" t="e">
        <f>DATE(YEAR(R10),5,1)</f>
        <v>#VALUE!</v>
      </c>
      <c r="R13" s="82" t="e">
        <f>DATE(YEAR(R10-1),5,1)</f>
        <v>#VALUE!</v>
      </c>
      <c r="S13" s="90" t="e">
        <f>DATE(YEAR(R10-2),5,1)</f>
        <v>#VALUE!</v>
      </c>
      <c r="U13" s="89" t="e">
        <f>DATE(YEAR(V10),5,1)</f>
        <v>#VALUE!</v>
      </c>
      <c r="V13" s="82" t="e">
        <f>DATE(YEAR(V10-1),5,1)</f>
        <v>#VALUE!</v>
      </c>
      <c r="W13" s="90" t="e">
        <f>DATE(YEAR(V10-2),5,1)</f>
        <v>#VALUE!</v>
      </c>
      <c r="X13" s="89" t="e">
        <f>DATE(YEAR(Y10),5,1)</f>
        <v>#VALUE!</v>
      </c>
      <c r="Y13" s="82" t="e">
        <f>DATE(YEAR(Y10-1),5,1)</f>
        <v>#VALUE!</v>
      </c>
      <c r="Z13" s="90" t="e">
        <f>DATE(YEAR(Y10-2),5,1)</f>
        <v>#VALUE!</v>
      </c>
      <c r="AA13" s="89" t="e">
        <f>DATE(YEAR(AB10),5,1)</f>
        <v>#VALUE!</v>
      </c>
      <c r="AB13" s="82" t="e">
        <f>DATE(YEAR(AB10-1),5,1)</f>
        <v>#VALUE!</v>
      </c>
      <c r="AC13" s="90" t="e">
        <f>DATE(YEAR(AB10-2),5,1)</f>
        <v>#VALUE!</v>
      </c>
    </row>
    <row r="14" spans="1:29" ht="15" customHeight="1">
      <c r="A14" s="77"/>
      <c r="B14" s="77"/>
      <c r="C14" s="77"/>
      <c r="D14" s="77"/>
      <c r="E14" s="80"/>
      <c r="F14" s="80"/>
      <c r="J14" s="88">
        <v>38554</v>
      </c>
      <c r="K14" s="89" t="e">
        <f>DATE(YEAR(L10),7,21)</f>
        <v>#VALUE!</v>
      </c>
      <c r="L14" s="82" t="e">
        <f>DATE(YEAR(L10-1),7,21)</f>
        <v>#VALUE!</v>
      </c>
      <c r="M14" s="90" t="e">
        <f>DATE(YEAR(L10-2),7,21)</f>
        <v>#VALUE!</v>
      </c>
      <c r="N14" s="89" t="e">
        <f>DATE(YEAR(O10),7,21)</f>
        <v>#VALUE!</v>
      </c>
      <c r="O14" s="82" t="e">
        <f>DATE(YEAR(O10-1),7,21)</f>
        <v>#VALUE!</v>
      </c>
      <c r="P14" s="90" t="e">
        <f>DATE(YEAR(O10-2),7,21)</f>
        <v>#VALUE!</v>
      </c>
      <c r="Q14" s="89" t="e">
        <f>DATE(YEAR(R10),7,21)</f>
        <v>#VALUE!</v>
      </c>
      <c r="R14" s="82" t="e">
        <f>DATE(YEAR(R10-1),7,21)</f>
        <v>#VALUE!</v>
      </c>
      <c r="S14" s="90" t="e">
        <f>DATE(YEAR(R10-2),7,21)</f>
        <v>#VALUE!</v>
      </c>
      <c r="U14" s="89" t="e">
        <f>DATE(YEAR(V10),7,21)</f>
        <v>#VALUE!</v>
      </c>
      <c r="V14" s="82" t="e">
        <f>DATE(YEAR(V10-1),7,21)</f>
        <v>#VALUE!</v>
      </c>
      <c r="W14" s="90" t="e">
        <f>DATE(YEAR(V10-2),7,21)</f>
        <v>#VALUE!</v>
      </c>
      <c r="X14" s="89" t="e">
        <f>DATE(YEAR(Y10),7,21)</f>
        <v>#VALUE!</v>
      </c>
      <c r="Y14" s="82" t="e">
        <f>DATE(YEAR(Y10-1),7,21)</f>
        <v>#VALUE!</v>
      </c>
      <c r="Z14" s="90" t="e">
        <f>DATE(YEAR(Y10-2),7,21)</f>
        <v>#VALUE!</v>
      </c>
      <c r="AA14" s="89" t="e">
        <f>DATE(YEAR(AB10),7,21)</f>
        <v>#VALUE!</v>
      </c>
      <c r="AB14" s="82" t="e">
        <f>DATE(YEAR(AB10-1),7,21)</f>
        <v>#VALUE!</v>
      </c>
      <c r="AC14" s="90" t="e">
        <f>DATE(YEAR(AB10-2),7,21)</f>
        <v>#VALUE!</v>
      </c>
    </row>
    <row r="15" spans="1:29" ht="15" customHeight="1">
      <c r="J15" s="88">
        <v>37848</v>
      </c>
      <c r="K15" s="89" t="e">
        <f>DATE(YEAR(L10),8,15)</f>
        <v>#VALUE!</v>
      </c>
      <c r="L15" s="82" t="e">
        <f>DATE(YEAR(L10-1),8,15)</f>
        <v>#VALUE!</v>
      </c>
      <c r="M15" s="90" t="e">
        <f>DATE(YEAR(L10-2),8,15)</f>
        <v>#VALUE!</v>
      </c>
      <c r="N15" s="89" t="e">
        <f>DATE(YEAR(O10),8,15)</f>
        <v>#VALUE!</v>
      </c>
      <c r="O15" s="82" t="e">
        <f>DATE(YEAR(O10-1),8,15)</f>
        <v>#VALUE!</v>
      </c>
      <c r="P15" s="90" t="e">
        <f>DATE(YEAR(O10-2),8,15)</f>
        <v>#VALUE!</v>
      </c>
      <c r="Q15" s="89" t="e">
        <f>DATE(YEAR(R10),8,15)</f>
        <v>#VALUE!</v>
      </c>
      <c r="R15" s="82" t="e">
        <f>DATE(YEAR(R10-1),8,15)</f>
        <v>#VALUE!</v>
      </c>
      <c r="S15" s="90" t="e">
        <f>DATE(YEAR(R10-2),8,15)</f>
        <v>#VALUE!</v>
      </c>
      <c r="U15" s="89" t="e">
        <f>DATE(YEAR(V10),8,15)</f>
        <v>#VALUE!</v>
      </c>
      <c r="V15" s="82" t="e">
        <f>DATE(YEAR(V10-1),8,15)</f>
        <v>#VALUE!</v>
      </c>
      <c r="W15" s="90" t="e">
        <f>DATE(YEAR(V10-2),8,15)</f>
        <v>#VALUE!</v>
      </c>
      <c r="X15" s="89" t="e">
        <f>DATE(YEAR(Y10),8,15)</f>
        <v>#VALUE!</v>
      </c>
      <c r="Y15" s="82" t="e">
        <f>DATE(YEAR(Y10-1),8,15)</f>
        <v>#VALUE!</v>
      </c>
      <c r="Z15" s="90" t="e">
        <f>DATE(YEAR(Y10-2),8,15)</f>
        <v>#VALUE!</v>
      </c>
      <c r="AA15" s="89" t="e">
        <f>DATE(YEAR(AB10),8,15)</f>
        <v>#VALUE!</v>
      </c>
      <c r="AB15" s="82" t="e">
        <f>DATE(YEAR(AB10-1),8,15)</f>
        <v>#VALUE!</v>
      </c>
      <c r="AC15" s="90" t="e">
        <f>DATE(YEAR(AB10-2),8,15)</f>
        <v>#VALUE!</v>
      </c>
    </row>
    <row r="16" spans="1:29" ht="20.100000000000001" customHeight="1">
      <c r="C16" s="162" t="str">
        <f>IF(Demande!L81=TRUE,"Plans modificatifs","")</f>
        <v/>
      </c>
      <c r="D16" s="162"/>
      <c r="E16" s="162"/>
      <c r="J16" s="88">
        <v>37926</v>
      </c>
      <c r="K16" s="89" t="e">
        <f>DATE(YEAR(L10),11,1)</f>
        <v>#VALUE!</v>
      </c>
      <c r="L16" s="82" t="e">
        <f>DATE(YEAR(L10-1),11,1)</f>
        <v>#VALUE!</v>
      </c>
      <c r="M16" s="90" t="e">
        <f>DATE(YEAR(L10-2),11,1)</f>
        <v>#VALUE!</v>
      </c>
      <c r="N16" s="89" t="e">
        <f>DATE(YEAR(O10),11,1)</f>
        <v>#VALUE!</v>
      </c>
      <c r="O16" s="82" t="e">
        <f>DATE(YEAR(O10-1),11,1)</f>
        <v>#VALUE!</v>
      </c>
      <c r="P16" s="90" t="e">
        <f>DATE(YEAR(O10-2),11,1)</f>
        <v>#VALUE!</v>
      </c>
      <c r="Q16" s="89" t="e">
        <f>DATE(YEAR(R10),11,1)</f>
        <v>#VALUE!</v>
      </c>
      <c r="R16" s="82" t="e">
        <f>DATE(YEAR(R10-1),11,1)</f>
        <v>#VALUE!</v>
      </c>
      <c r="S16" s="90" t="e">
        <f>DATE(YEAR(R10-2),11,1)</f>
        <v>#VALUE!</v>
      </c>
      <c r="U16" s="89" t="e">
        <f>DATE(YEAR(V10),11,1)</f>
        <v>#VALUE!</v>
      </c>
      <c r="V16" s="82" t="e">
        <f>DATE(YEAR(V10-1),11,1)</f>
        <v>#VALUE!</v>
      </c>
      <c r="W16" s="90" t="e">
        <f>DATE(YEAR(V10-2),11,1)</f>
        <v>#VALUE!</v>
      </c>
      <c r="X16" s="89" t="e">
        <f>DATE(YEAR(Y10),11,1)</f>
        <v>#VALUE!</v>
      </c>
      <c r="Y16" s="82" t="e">
        <f>DATE(YEAR(Y10-1),11,1)</f>
        <v>#VALUE!</v>
      </c>
      <c r="Z16" s="90" t="e">
        <f>DATE(YEAR(Y10-2),11,1)</f>
        <v>#VALUE!</v>
      </c>
      <c r="AA16" s="89" t="e">
        <f>DATE(YEAR(AB10),11,1)</f>
        <v>#VALUE!</v>
      </c>
      <c r="AB16" s="82" t="e">
        <f>DATE(YEAR(AB10-1),11,1)</f>
        <v>#VALUE!</v>
      </c>
      <c r="AC16" s="90" t="e">
        <f>DATE(YEAR(AB10-2),11,1)</f>
        <v>#VALUE!</v>
      </c>
    </row>
    <row r="17" spans="1:29" ht="15" customHeight="1">
      <c r="J17" s="88">
        <v>37936</v>
      </c>
      <c r="K17" s="89" t="e">
        <f>DATE(YEAR(L10),11,11)</f>
        <v>#VALUE!</v>
      </c>
      <c r="L17" s="82" t="e">
        <f>DATE(YEAR(L10-1),11,11)</f>
        <v>#VALUE!</v>
      </c>
      <c r="M17" s="90" t="e">
        <f>DATE(YEAR(L10-2),11,11)</f>
        <v>#VALUE!</v>
      </c>
      <c r="N17" s="89" t="e">
        <f>DATE(YEAR(O10),11,11)</f>
        <v>#VALUE!</v>
      </c>
      <c r="O17" s="82" t="e">
        <f>DATE(YEAR(O10-1),11,11)</f>
        <v>#VALUE!</v>
      </c>
      <c r="P17" s="90" t="e">
        <f>DATE(YEAR(O10-2),11,11)</f>
        <v>#VALUE!</v>
      </c>
      <c r="Q17" s="89" t="e">
        <f>DATE(YEAR(R10),11,11)</f>
        <v>#VALUE!</v>
      </c>
      <c r="R17" s="82" t="e">
        <f>DATE(YEAR(R10-1),11,11)</f>
        <v>#VALUE!</v>
      </c>
      <c r="S17" s="90" t="e">
        <f>DATE(YEAR(R10-2),11,11)</f>
        <v>#VALUE!</v>
      </c>
      <c r="U17" s="89" t="e">
        <f>DATE(YEAR(V10),11,11)</f>
        <v>#VALUE!</v>
      </c>
      <c r="V17" s="82" t="e">
        <f>DATE(YEAR(V10-1),11,11)</f>
        <v>#VALUE!</v>
      </c>
      <c r="W17" s="90" t="e">
        <f>DATE(YEAR(V10-2),11,11)</f>
        <v>#VALUE!</v>
      </c>
      <c r="X17" s="89" t="e">
        <f>DATE(YEAR(Y10),11,11)</f>
        <v>#VALUE!</v>
      </c>
      <c r="Y17" s="82" t="e">
        <f>DATE(YEAR(Y10-1),11,11)</f>
        <v>#VALUE!</v>
      </c>
      <c r="Z17" s="90" t="e">
        <f>DATE(YEAR(Y10-2),11,11)</f>
        <v>#VALUE!</v>
      </c>
      <c r="AA17" s="89" t="e">
        <f>DATE(YEAR(AB10),11,11)</f>
        <v>#VALUE!</v>
      </c>
      <c r="AB17" s="82" t="e">
        <f>DATE(YEAR(AB10-1),11,11)</f>
        <v>#VALUE!</v>
      </c>
      <c r="AC17" s="90" t="e">
        <f>DATE(YEAR(AB10-2),11,11)</f>
        <v>#VALUE!</v>
      </c>
    </row>
    <row r="18" spans="1:29" ht="15" customHeight="1">
      <c r="J18" s="88">
        <v>37980</v>
      </c>
      <c r="K18" s="89" t="e">
        <f>DATE(YEAR(L10),12,25)</f>
        <v>#VALUE!</v>
      </c>
      <c r="L18" s="82" t="e">
        <f>DATE(YEAR(L10-1),12,25)</f>
        <v>#VALUE!</v>
      </c>
      <c r="M18" s="90" t="e">
        <f>DATE(YEAR(L10-2),12,25)</f>
        <v>#VALUE!</v>
      </c>
      <c r="N18" s="89" t="e">
        <f>DATE(YEAR(O10),12,25)</f>
        <v>#VALUE!</v>
      </c>
      <c r="O18" s="82" t="e">
        <f>DATE(YEAR(O10-1),12,25)</f>
        <v>#VALUE!</v>
      </c>
      <c r="P18" s="90" t="e">
        <f>DATE(YEAR(O10-2),12,25)</f>
        <v>#VALUE!</v>
      </c>
      <c r="Q18" s="89" t="e">
        <f>DATE(YEAR(R10),12,25)</f>
        <v>#VALUE!</v>
      </c>
      <c r="R18" s="82" t="e">
        <f>DATE(YEAR(R10-1),12,25)</f>
        <v>#VALUE!</v>
      </c>
      <c r="S18" s="90" t="e">
        <f>DATE(YEAR(R10-2),12,25)</f>
        <v>#VALUE!</v>
      </c>
      <c r="U18" s="89" t="e">
        <f>DATE(YEAR(V10),12,25)</f>
        <v>#VALUE!</v>
      </c>
      <c r="V18" s="82" t="e">
        <f>DATE(YEAR(V10-1),12,25)</f>
        <v>#VALUE!</v>
      </c>
      <c r="W18" s="90" t="e">
        <f>DATE(YEAR(V10-2),12,25)</f>
        <v>#VALUE!</v>
      </c>
      <c r="X18" s="89" t="e">
        <f>DATE(YEAR(Y10),12,25)</f>
        <v>#VALUE!</v>
      </c>
      <c r="Y18" s="82" t="e">
        <f>DATE(YEAR(Y10-1),12,25)</f>
        <v>#VALUE!</v>
      </c>
      <c r="Z18" s="90" t="e">
        <f>DATE(YEAR(Y10-2),12,25)</f>
        <v>#VALUE!</v>
      </c>
      <c r="AA18" s="89" t="e">
        <f>DATE(YEAR(AB10),12,25)</f>
        <v>#VALUE!</v>
      </c>
      <c r="AB18" s="82" t="e">
        <f>DATE(YEAR(AB10-1),12,25)</f>
        <v>#VALUE!</v>
      </c>
      <c r="AC18" s="90" t="e">
        <f>DATE(YEAR(AB10-2),12,25)</f>
        <v>#VALUE!</v>
      </c>
    </row>
    <row r="19" spans="1:29" ht="15" customHeight="1">
      <c r="A19" s="77" t="str">
        <f>IF(Demande!L81=TRUE,IF(Demande!L79=1,"Date ultime d'envoi du rapport :","Date ultime d'envoi de la décision :"),"")</f>
        <v/>
      </c>
      <c r="B19" s="77"/>
      <c r="C19" s="78" t="str">
        <f>IF(Demande!L81=TRUE,"J","")</f>
        <v/>
      </c>
      <c r="D19" s="400" t="str">
        <f>IF(Demande!L81=TRUE,IF('Plans modif'!F24&lt;&gt;"",IF('Plans modif'!F28&lt;&gt;"",'Plans modif'!F28,'Plans modif'!F24),IF(Demande!L79=2, IF('Plans modif'!G24&lt;&gt;"",'Plans modif'!G24,""),"")),"")</f>
        <v/>
      </c>
      <c r="E19" s="400"/>
      <c r="F19" s="79" t="str">
        <f>IF(D19&lt;&gt;"",IF(D19&lt;&gt;"Sans objet",TEXT(D19,"jjjj"),""),"")</f>
        <v/>
      </c>
      <c r="G19" s="80"/>
      <c r="J19" s="91" t="s">
        <v>43</v>
      </c>
      <c r="K19" s="92" t="e">
        <f>IF(L10&lt;&gt;K12,IF(L10&lt;&gt;K13,IF(L10&lt;&gt;K14,IF(L10&lt;&gt;K15,IF(L10&lt;&gt;K16,IF(L10&lt;&gt;K17,IF(L10&lt;&gt;K18,0,1),1),1),1),1),1),1)</f>
        <v>#VALUE!</v>
      </c>
      <c r="L19" s="93" t="e">
        <f>IF(L10-1&lt;&gt;L12,IF(L10-1&lt;&gt;L13,IF(L10-1&lt;&gt;L14,IF(L10-1&lt;&gt;L15,IF(L10-1&lt;&gt;L16,IF(L10-1&lt;&gt;L17,IF(L10-1&lt;&gt;L18,0,1),1),1),1),1),1),1)</f>
        <v>#VALUE!</v>
      </c>
      <c r="M19" s="94" t="e">
        <f>IF(L10-2&lt;&gt;M12,IF(L10-2&lt;&gt;M13,IF(L10-2&lt;&gt;M14,IF(L10-2&lt;&gt;M15,IF(L10-2&lt;&gt;M16,IF(L10-2&lt;&gt;M17,IF(L10-2&lt;&gt;M18,0,1),1),1),1),1),1),1)</f>
        <v>#VALUE!</v>
      </c>
      <c r="N19" s="92" t="e">
        <f>IF(O10&lt;&gt;N12,IF(O10&lt;&gt;N13,IF(O10&lt;&gt;N14,IF(O10&lt;&gt;N15,IF(O10&lt;&gt;N16,IF(O10&lt;&gt;N17,IF(O10&lt;&gt;N18,0,1),1),1),1),1),1),1)</f>
        <v>#VALUE!</v>
      </c>
      <c r="O19" s="93" t="e">
        <f>IF(O10-1&lt;&gt;O12,IF(O10-1&lt;&gt;O13,IF(O10-1&lt;&gt;O14,IF(O10-1&lt;&gt;O15,IF(O10-1&lt;&gt;O16,IF(O10-1&lt;&gt;O17,IF(O10-1&lt;&gt;O18,0,1),1),1),1),1),1),1)</f>
        <v>#VALUE!</v>
      </c>
      <c r="P19" s="94" t="e">
        <f>IF(O10-2&lt;&gt;P12,IF(O10-2&lt;&gt;P13,IF(O10-2&lt;&gt;P14,IF(O10-2&lt;&gt;P15,IF(O10-2&lt;&gt;P16,IF(O10-2&lt;&gt;P17,IF(O10-2&lt;&gt;P18,0,1),1),1),1),1),1),1)</f>
        <v>#VALUE!</v>
      </c>
      <c r="Q19" s="92" t="e">
        <f>IF(R10&lt;&gt;Q12,IF(R10&lt;&gt;Q13,IF(R10&lt;&gt;Q14,IF(R10&lt;&gt;Q15,IF(R10&lt;&gt;Q16,IF(R10&lt;&gt;Q17,IF(R10&lt;&gt;Q18,0,1),1),1),1),1),1),1)</f>
        <v>#VALUE!</v>
      </c>
      <c r="R19" s="93" t="e">
        <f>IF(R10-1&lt;&gt;R12,IF(R10-1&lt;&gt;R13,IF(R10-1&lt;&gt;R14,IF(R10-1&lt;&gt;R15,IF(R10-1&lt;&gt;R16,IF(R10-1&lt;&gt;R17,IF(R10-1&lt;&gt;R18,0,1),1),1),1),1),1),1)</f>
        <v>#VALUE!</v>
      </c>
      <c r="S19" s="94" t="e">
        <f>IF(R10-2&lt;&gt;S12,IF(R10-2&lt;&gt;S13,IF(R10-2&lt;&gt;S14,IF(R10-2&lt;&gt;S15,IF(R10-2&lt;&gt;S16,IF(R10-2&lt;&gt;S17,IF(R10-2&lt;&gt;S18,0,1),1),1),1),1),1),1)</f>
        <v>#VALUE!</v>
      </c>
      <c r="U19" s="92" t="e">
        <f>IF(V10&lt;&gt;U12,IF(V10&lt;&gt;U13,IF(V10&lt;&gt;U14,IF(V10&lt;&gt;U15,IF(V10&lt;&gt;U16,IF(V10&lt;&gt;U17,IF(V10&lt;&gt;U18,0,1),1),1),1),1),1),1)</f>
        <v>#VALUE!</v>
      </c>
      <c r="V19" s="93" t="e">
        <f>IF(V10-1&lt;&gt;V12,IF(V10-1&lt;&gt;V13,IF(V10-1&lt;&gt;V14,IF(V10-1&lt;&gt;V15,IF(V10-1&lt;&gt;V16,IF(V10-1&lt;&gt;V17,IF(V10-1&lt;&gt;V18,0,1),1),1),1),1),1),1)</f>
        <v>#VALUE!</v>
      </c>
      <c r="W19" s="94" t="e">
        <f>IF(V10-2&lt;&gt;W12,IF(V10-2&lt;&gt;W13,IF(V10-2&lt;&gt;W14,IF(V10-2&lt;&gt;W15,IF(V10-2&lt;&gt;W16,IF(V10-2&lt;&gt;W17,IF(V10-2&lt;&gt;W18,0,1),1),1),1),1),1),1)</f>
        <v>#VALUE!</v>
      </c>
      <c r="X19" s="92" t="e">
        <f>IF(Y10&lt;&gt;X12,IF(Y10&lt;&gt;X13,IF(Y10&lt;&gt;X14,IF(Y10&lt;&gt;X15,IF(Y10&lt;&gt;X16,IF(Y10&lt;&gt;X17,IF(Y10&lt;&gt;X18,0,1),1),1),1),1),1),1)</f>
        <v>#VALUE!</v>
      </c>
      <c r="Y19" s="93" t="e">
        <f>IF(Y10-1&lt;&gt;Y12,IF(Y10-1&lt;&gt;Y13,IF(Y10-1&lt;&gt;Y14,IF(Y10-1&lt;&gt;Y15,IF(Y10-1&lt;&gt;Y16,IF(Y10-1&lt;&gt;Y17,IF(Y10-1&lt;&gt;Y18,0,1),1),1),1),1),1),1)</f>
        <v>#VALUE!</v>
      </c>
      <c r="Z19" s="94" t="e">
        <f>IF(Y10-2&lt;&gt;Z12,IF(Y10-2&lt;&gt;Z13,IF(Y10-2&lt;&gt;Z14,IF(Y10-2&lt;&gt;Z15,IF(Y10-2&lt;&gt;Z16,IF(Y10-2&lt;&gt;Z17,IF(Y10-2&lt;&gt;Z18,0,1),1),1),1),1),1),1)</f>
        <v>#VALUE!</v>
      </c>
      <c r="AA19" s="92" t="e">
        <f>IF(AB10&lt;&gt;AA12,IF(AB10&lt;&gt;AA13,IF(AB10&lt;&gt;AA14,IF(AB10&lt;&gt;AA15,IF(AB10&lt;&gt;AA16,IF(AB10&lt;&gt;AA17,IF(AB10&lt;&gt;AA18,0,1),1),1),1),1),1),1)</f>
        <v>#VALUE!</v>
      </c>
      <c r="AB19" s="93" t="e">
        <f>IF(AB10-1&lt;&gt;AB12,IF(AB10-1&lt;&gt;AB13,IF(AB10-1&lt;&gt;AB14,IF(AB10-1&lt;&gt;AB15,IF(AB10-1&lt;&gt;AB16,IF(AB10-1&lt;&gt;AB17,IF(AB10-1&lt;&gt;AB18,0,1),1),1),1),1),1),1)</f>
        <v>#VALUE!</v>
      </c>
      <c r="AC19" s="94" t="e">
        <f>IF(AB10-2&lt;&gt;AC12,IF(AB10-2&lt;&gt;AC13,IF(AB10-2&lt;&gt;AC14,IF(AB10-2&lt;&gt;AC15,IF(AB10-2&lt;&gt;AC16,IF(AB10-2&lt;&gt;AC17,IF(AB10-2&lt;&gt;AC18,0,1),1),1),1),1),1),1)</f>
        <v>#VALUE!</v>
      </c>
    </row>
    <row r="20" spans="1:29" ht="15" customHeight="1">
      <c r="A20" s="77" t="str">
        <f>IF(Demande!L81=TRUE,"Avis de la DGATLP communiqué à la DPA :","")</f>
        <v/>
      </c>
      <c r="B20" s="77"/>
      <c r="C20" s="84" t="str">
        <f>IF(Demande!L81=TRUE,"(J-2-3)-5","")</f>
        <v/>
      </c>
      <c r="D20" s="401" t="str">
        <f>IF(D19&lt;&gt;"",IF(Demande!L81=TRUE,V26,"Sans objet"),"")</f>
        <v/>
      </c>
      <c r="E20" s="401"/>
      <c r="F20" s="79" t="str">
        <f>IF(D19&lt;&gt;"",IF(D19&lt;&gt;"Sans objet",TEXT(D20,"jjjj"),""),"")</f>
        <v/>
      </c>
      <c r="G20" s="80"/>
      <c r="I20" s="29" t="b">
        <v>0</v>
      </c>
      <c r="J20" s="83" t="s">
        <v>90</v>
      </c>
      <c r="K20" s="89" t="e">
        <f>DOLLAR((DAY(MINUTE(YEAR(L10)/38)/2+55)&amp;"/4/"&amp;YEAR(L10))/7,)*7-5</f>
        <v>#VALUE!</v>
      </c>
      <c r="L20" s="82" t="e">
        <f>DOLLAR((DAY(MINUTE(YEAR(L10-1)/38)/2+55)&amp;"/4/"&amp;YEAR(L10-1))/7,)*7-5</f>
        <v>#VALUE!</v>
      </c>
      <c r="M20" s="90" t="e">
        <f>DOLLAR((DAY(MINUTE(YEAR(L10-2)/38)/2+55)&amp;"/4/"&amp;YEAR(L10-2))/7,)*7-5</f>
        <v>#VALUE!</v>
      </c>
      <c r="N20" s="89" t="e">
        <f>DOLLAR((DAY(MINUTE(YEAR(O10)/38)/2+55)&amp;"/4/"&amp;YEAR(O10))/7,)*7-5</f>
        <v>#VALUE!</v>
      </c>
      <c r="O20" s="82" t="e">
        <f>DOLLAR((DAY(MINUTE(YEAR(O10-1)/38)/2+55)&amp;"/4/"&amp;YEAR(O10-1))/7,)*7-5</f>
        <v>#VALUE!</v>
      </c>
      <c r="P20" s="90" t="e">
        <f>DOLLAR((DAY(MINUTE(YEAR(O10-2)/38)/2+55)&amp;"/4/"&amp;YEAR(O10-2))/7,)*7-5</f>
        <v>#VALUE!</v>
      </c>
      <c r="Q20" s="89" t="e">
        <f>DOLLAR((DAY(MINUTE(YEAR(R10)/38)/2+55)&amp;"/4/"&amp;YEAR(R10))/7,)*7-5</f>
        <v>#VALUE!</v>
      </c>
      <c r="R20" s="82" t="e">
        <f>DOLLAR((DAY(MINUTE(YEAR(R10-1)/38)/2+55)&amp;"/4/"&amp;YEAR(R10-1))/7,)*7-5</f>
        <v>#VALUE!</v>
      </c>
      <c r="S20" s="90" t="e">
        <f>DOLLAR((DAY(MINUTE(YEAR(R10-2)/38)/2+55)&amp;"/4/"&amp;YEAR(R10-2))/7,)*7-5</f>
        <v>#VALUE!</v>
      </c>
      <c r="U20" s="89" t="e">
        <f>DOLLAR((DAY(MINUTE(YEAR(V10)/38)/2+55)&amp;"/4/"&amp;YEAR(V10))/7,)*7-5</f>
        <v>#VALUE!</v>
      </c>
      <c r="V20" s="82" t="e">
        <f>DOLLAR((DAY(MINUTE(YEAR(V10-1)/38)/2+55)&amp;"/4/"&amp;YEAR(V10-1))/7,)*7-5</f>
        <v>#VALUE!</v>
      </c>
      <c r="W20" s="90" t="e">
        <f>DOLLAR((DAY(MINUTE(YEAR(V10-2)/38)/2+55)&amp;"/4/"&amp;YEAR(V10-2))/7,)*7-5</f>
        <v>#VALUE!</v>
      </c>
      <c r="X20" s="89" t="e">
        <f>DOLLAR((DAY(MINUTE(YEAR(Y10)/38)/2+55)&amp;"/4/"&amp;YEAR(Y10))/7,)*7-5</f>
        <v>#VALUE!</v>
      </c>
      <c r="Y20" s="82" t="e">
        <f>DOLLAR((DAY(MINUTE(YEAR(Y10-1)/38)/2+55)&amp;"/4/"&amp;YEAR(Y10-1))/7,)*7-5</f>
        <v>#VALUE!</v>
      </c>
      <c r="Z20" s="90" t="e">
        <f>DOLLAR((DAY(MINUTE(YEAR(Y10-2)/38)/2+55)&amp;"/4/"&amp;YEAR(Y10-2))/7,)*7-5</f>
        <v>#VALUE!</v>
      </c>
      <c r="AA20" s="89" t="e">
        <f>DOLLAR((DAY(MINUTE(YEAR(AB10)/38)/2+55)&amp;"/4/"&amp;YEAR(AB10))/7,)*7-5</f>
        <v>#VALUE!</v>
      </c>
      <c r="AB20" s="82" t="e">
        <f>DOLLAR((DAY(MINUTE(YEAR(AB10-1)/38)/2+55)&amp;"/4/"&amp;YEAR(AB10-1))/7,)*7-5</f>
        <v>#VALUE!</v>
      </c>
      <c r="AC20" s="90" t="e">
        <f>DOLLAR((DAY(MINUTE(YEAR(AB10-2)/38)/2+55)&amp;"/4/"&amp;YEAR(AB10-2))/7,)*7-5</f>
        <v>#VALUE!</v>
      </c>
    </row>
    <row r="21" spans="1:29" ht="15" customHeight="1">
      <c r="A21" s="77" t="str">
        <f>IF(Demande!L81=TRUE,"Rapport envoyé à la DGATLP par la DPA :","")</f>
        <v/>
      </c>
      <c r="B21" s="77"/>
      <c r="C21" s="84" t="str">
        <f>IF(Demande!L81=TRUE,"(J-2)-3","")</f>
        <v/>
      </c>
      <c r="D21" s="401" t="str">
        <f>IF(D19&lt;&gt;"",IF(Demande!L81=TRUE,Y26,"Sans objet"),"")</f>
        <v/>
      </c>
      <c r="E21" s="401"/>
      <c r="F21" s="79" t="str">
        <f>IF(D19&lt;&gt;"",IF(D19&lt;&gt;"Sans objet",TEXT(D21,"jjjj"),""),"")</f>
        <v/>
      </c>
      <c r="G21" s="80"/>
      <c r="I21" s="29" t="b">
        <v>0</v>
      </c>
      <c r="J21" s="83" t="s">
        <v>49</v>
      </c>
      <c r="K21" s="89" t="e">
        <f>DOLLAR((DAY(MINUTE(YEAR(L10)/38)/2+55)&amp;"/4/"&amp;YEAR(L10))/7,)*7+33</f>
        <v>#VALUE!</v>
      </c>
      <c r="L21" s="82" t="e">
        <f>DOLLAR((DAY(MINUTE(YEAR(L10-1)/38)/2+55)&amp;"/4/"&amp;YEAR(L10-1))/7,)*7+33</f>
        <v>#VALUE!</v>
      </c>
      <c r="M21" s="90" t="e">
        <f>DOLLAR((DAY(MINUTE(YEAR(L10-2)/38)/2+55)&amp;"/4/"&amp;YEAR(L10-2))/7,)*7+33</f>
        <v>#VALUE!</v>
      </c>
      <c r="N21" s="89" t="e">
        <f>DOLLAR((DAY(MINUTE(YEAR(O10)/38)/2+55)&amp;"/4/"&amp;YEAR(O10))/7,)*7+33</f>
        <v>#VALUE!</v>
      </c>
      <c r="O21" s="82" t="e">
        <f>DOLLAR((DAY(MINUTE(YEAR(O10-1)/38)/2+55)&amp;"/4/"&amp;YEAR(O10-1))/7,)*7+33</f>
        <v>#VALUE!</v>
      </c>
      <c r="P21" s="90" t="e">
        <f>DOLLAR((DAY(MINUTE(YEAR(O10-2)/38)/2+55)&amp;"/4/"&amp;YEAR(O10-2))/7,)*7+33</f>
        <v>#VALUE!</v>
      </c>
      <c r="Q21" s="89" t="e">
        <f>DOLLAR((DAY(MINUTE(YEAR(R10)/38)/2+55)&amp;"/4/"&amp;YEAR(R10))/7,)*7+33</f>
        <v>#VALUE!</v>
      </c>
      <c r="R21" s="82" t="e">
        <f>DOLLAR((DAY(MINUTE(YEAR(R10-1)/38)/2+55)&amp;"/4/"&amp;YEAR(R10-1))/7,)*7+33</f>
        <v>#VALUE!</v>
      </c>
      <c r="S21" s="90" t="e">
        <f>DOLLAR((DAY(MINUTE(YEAR(R10-2)/38)/2+55)&amp;"/4/"&amp;YEAR(R10-2))/7,)*7+33</f>
        <v>#VALUE!</v>
      </c>
      <c r="U21" s="89" t="e">
        <f>DOLLAR((DAY(MINUTE(YEAR(V10)/38)/2+55)&amp;"/4/"&amp;YEAR(V10))/7,)*7+33</f>
        <v>#VALUE!</v>
      </c>
      <c r="V21" s="82" t="e">
        <f>DOLLAR((DAY(MINUTE(YEAR(V10-1)/38)/2+55)&amp;"/4/"&amp;YEAR(V10-1))/7,)*7+33</f>
        <v>#VALUE!</v>
      </c>
      <c r="W21" s="90" t="e">
        <f>DOLLAR((DAY(MINUTE(YEAR(V10-2)/38)/2+55)&amp;"/4/"&amp;YEAR(V10-2))/7,)*7+33</f>
        <v>#VALUE!</v>
      </c>
      <c r="X21" s="89" t="e">
        <f>DOLLAR((DAY(MINUTE(YEAR(Y10)/38)/2+55)&amp;"/4/"&amp;YEAR(Y10))/7,)*7+33</f>
        <v>#VALUE!</v>
      </c>
      <c r="Y21" s="82" t="e">
        <f>DOLLAR((DAY(MINUTE(YEAR(Y10-1)/38)/2+55)&amp;"/4/"&amp;YEAR(Y10-1))/7,)*7+33</f>
        <v>#VALUE!</v>
      </c>
      <c r="Z21" s="90" t="e">
        <f>DOLLAR((DAY(MINUTE(YEAR(Y10-2)/38)/2+55)&amp;"/4/"&amp;YEAR(Y10-2))/7,)*7+33</f>
        <v>#VALUE!</v>
      </c>
      <c r="AA21" s="89" t="e">
        <f>DOLLAR((DAY(MINUTE(YEAR(AB10)/38)/2+55)&amp;"/4/"&amp;YEAR(AB10))/7,)*7+33</f>
        <v>#VALUE!</v>
      </c>
      <c r="AB21" s="82" t="e">
        <f>DOLLAR((DAY(MINUTE(YEAR(AB10-1)/38)/2+55)&amp;"/4/"&amp;YEAR(AB10-1))/7,)*7+33</f>
        <v>#VALUE!</v>
      </c>
      <c r="AC21" s="90" t="e">
        <f>DOLLAR((DAY(MINUTE(YEAR(AB10-2)/38)/2+55)&amp;"/4/"&amp;YEAR(AB10-2))/7,)*7+33</f>
        <v>#VALUE!</v>
      </c>
    </row>
    <row r="22" spans="1:29" ht="15" customHeight="1">
      <c r="A22" s="77" t="str">
        <f>IF(Demande!L81=TRUE,"Retour à la DPA du rapport signé par le FD :","")</f>
        <v/>
      </c>
      <c r="B22" s="77"/>
      <c r="C22" s="84" t="str">
        <f>IF(Demande!L81=TRUE,"J-2","")</f>
        <v/>
      </c>
      <c r="D22" s="401" t="str">
        <f>IF(D19&lt;&gt;"",IF(Demande!L81=TRUE,AB26,"Sans objet"),"")</f>
        <v/>
      </c>
      <c r="E22" s="401"/>
      <c r="F22" s="79" t="str">
        <f>IF(D19&lt;&gt;"",IF(D19&lt;&gt;"Sans objet",TEXT(D22,"jjjj"),""),"")</f>
        <v/>
      </c>
      <c r="I22" s="29" t="b">
        <v>0</v>
      </c>
      <c r="J22" s="83" t="s">
        <v>91</v>
      </c>
      <c r="K22" s="89" t="e">
        <f>DOLLAR((DAY(MINUTE(YEAR(L10)/38)/2+55)&amp;"/4/"&amp;YEAR(L10))/7,)*7+44</f>
        <v>#VALUE!</v>
      </c>
      <c r="L22" s="82" t="e">
        <f>DOLLAR((DAY(MINUTE(YEAR(L10-1)/38)/2+55)&amp;"/4/"&amp;YEAR(L10-1))/7,)*7+44</f>
        <v>#VALUE!</v>
      </c>
      <c r="M22" s="90" t="e">
        <f>DOLLAR((DAY(MINUTE(YEAR(L10-2)/38)/2+55)&amp;"/4/"&amp;YEAR(L10-2))/7,)*7+44</f>
        <v>#VALUE!</v>
      </c>
      <c r="N22" s="89" t="e">
        <f>DOLLAR((DAY(MINUTE(YEAR(O10)/38)/2+55)&amp;"/4/"&amp;YEAR(O10))/7,)*7+44</f>
        <v>#VALUE!</v>
      </c>
      <c r="O22" s="82" t="e">
        <f>DOLLAR((DAY(MINUTE(YEAR(O10-1)/38)/2+55)&amp;"/4/"&amp;YEAR(O10-1))/7,)*7+44</f>
        <v>#VALUE!</v>
      </c>
      <c r="P22" s="90" t="e">
        <f>DOLLAR((DAY(MINUTE(YEAR(O10-2)/38)/2+55)&amp;"/4/"&amp;YEAR(O10-2))/7,)*7+44</f>
        <v>#VALUE!</v>
      </c>
      <c r="Q22" s="89" t="e">
        <f>DOLLAR((DAY(MINUTE(YEAR(R10)/38)/2+55)&amp;"/4/"&amp;YEAR(R10))/7,)*7+44</f>
        <v>#VALUE!</v>
      </c>
      <c r="R22" s="82" t="e">
        <f>DOLLAR((DAY(MINUTE(YEAR(R10-1)/38)/2+55)&amp;"/4/"&amp;YEAR(R10-1))/7,)*7+44</f>
        <v>#VALUE!</v>
      </c>
      <c r="S22" s="90" t="e">
        <f>DOLLAR((DAY(MINUTE(YEAR(R10-2)/38)/2+55)&amp;"/4/"&amp;YEAR(R10-2))/7,)*7+44</f>
        <v>#VALUE!</v>
      </c>
      <c r="U22" s="89" t="e">
        <f>DOLLAR((DAY(MINUTE(YEAR(V10)/38)/2+55)&amp;"/4/"&amp;YEAR(V10))/7,)*7+44</f>
        <v>#VALUE!</v>
      </c>
      <c r="V22" s="82" t="e">
        <f>DOLLAR((DAY(MINUTE(YEAR(V10-1)/38)/2+55)&amp;"/4/"&amp;YEAR(V10-1))/7,)*7+44</f>
        <v>#VALUE!</v>
      </c>
      <c r="W22" s="90" t="e">
        <f>DOLLAR((DAY(MINUTE(YEAR(V10-2)/38)/2+55)&amp;"/4/"&amp;YEAR(V10-2))/7,)*7+44</f>
        <v>#VALUE!</v>
      </c>
      <c r="X22" s="89" t="e">
        <f>DOLLAR((DAY(MINUTE(YEAR(Y10)/38)/2+55)&amp;"/4/"&amp;YEAR(Y10))/7,)*7+44</f>
        <v>#VALUE!</v>
      </c>
      <c r="Y22" s="82" t="e">
        <f>DOLLAR((DAY(MINUTE(YEAR(Y10-1)/38)/2+55)&amp;"/4/"&amp;YEAR(Y10-1))/7,)*7+44</f>
        <v>#VALUE!</v>
      </c>
      <c r="Z22" s="90" t="e">
        <f>DOLLAR((DAY(MINUTE(YEAR(Y10-2)/38)/2+55)&amp;"/4/"&amp;YEAR(Y10-2))/7,)*7+44</f>
        <v>#VALUE!</v>
      </c>
      <c r="AA22" s="89" t="e">
        <f>DOLLAR((DAY(MINUTE(YEAR(AB10)/38)/2+55)&amp;"/4/"&amp;YEAR(AB10))/7,)*7+44</f>
        <v>#VALUE!</v>
      </c>
      <c r="AB22" s="82" t="e">
        <f>DOLLAR((DAY(MINUTE(YEAR(AB10-1)/38)/2+55)&amp;"/4/"&amp;YEAR(AB10-1))/7,)*7+44</f>
        <v>#VALUE!</v>
      </c>
      <c r="AC22" s="90" t="e">
        <f>DOLLAR((DAY(MINUTE(YEAR(AB10-2)/38)/2+55)&amp;"/4/"&amp;YEAR(AB10-2))/7,)*7+44</f>
        <v>#VALUE!</v>
      </c>
    </row>
    <row r="23" spans="1:29" ht="15" customHeight="1">
      <c r="A23" s="77"/>
      <c r="B23" s="77"/>
      <c r="C23" s="77"/>
      <c r="D23" s="77"/>
      <c r="E23" s="80"/>
      <c r="F23" s="80"/>
      <c r="J23" s="91" t="s">
        <v>35</v>
      </c>
      <c r="K23" s="92" t="e">
        <f>IF(L10&lt;&gt;K20,IF(L10&lt;&gt;K21,IF(L10&lt;&gt;K22,0,1),1),1)</f>
        <v>#VALUE!</v>
      </c>
      <c r="L23" s="93" t="e">
        <f>IF(L10-1&lt;&gt;L20,IF(L10-1&lt;&gt;L21,IF(L10-1&lt;&gt;L22,0,1),1),1)</f>
        <v>#VALUE!</v>
      </c>
      <c r="M23" s="94" t="e">
        <f>IF(L10-2&lt;&gt;M20,IF(L10-2&lt;&gt;M21,IF(L10-2&lt;&gt;M22,0,1),1),1)</f>
        <v>#VALUE!</v>
      </c>
      <c r="N23" s="92" t="e">
        <f>IF(O10&lt;&gt;N20,IF(O10&lt;&gt;N21,IF(O10&lt;&gt;N22,0,1),1),1)</f>
        <v>#VALUE!</v>
      </c>
      <c r="O23" s="93" t="e">
        <f>IF(O10-1&lt;&gt;O20,IF(O10-1&lt;&gt;O21,IF(O10-1&lt;&gt;O22,0,1),1),1)</f>
        <v>#VALUE!</v>
      </c>
      <c r="P23" s="94" t="e">
        <f>IF(O10-2&lt;&gt;P20,IF(O10-2&lt;&gt;P21,IF(O10-2&lt;&gt;P22,0,1),1),1)</f>
        <v>#VALUE!</v>
      </c>
      <c r="Q23" s="92" t="e">
        <f>IF(R10&lt;&gt;Q20,IF(R10&lt;&gt;Q21,IF(R10&lt;&gt;Q22,0,1),1),1)</f>
        <v>#VALUE!</v>
      </c>
      <c r="R23" s="93" t="e">
        <f>IF(R10-1&lt;&gt;R20,IF(R10-1&lt;&gt;R21,IF(R10-1&lt;&gt;R22,0,1),1),1)</f>
        <v>#VALUE!</v>
      </c>
      <c r="S23" s="94" t="e">
        <f>IF(R10-2&lt;&gt;S20,IF(R10-2&lt;&gt;S21,IF(R10-2&lt;&gt;S22,0,1),1),1)</f>
        <v>#VALUE!</v>
      </c>
      <c r="U23" s="92" t="e">
        <f>IF(V10&lt;&gt;U20,IF(V10&lt;&gt;U21,IF(V10&lt;&gt;U22,0,1),1),1)</f>
        <v>#VALUE!</v>
      </c>
      <c r="V23" s="93" t="e">
        <f>IF(V10-1&lt;&gt;V20,IF(V10-1&lt;&gt;V21,IF(V10-1&lt;&gt;V22,0,1),1),1)</f>
        <v>#VALUE!</v>
      </c>
      <c r="W23" s="94" t="e">
        <f>IF(V10-2&lt;&gt;W20,IF(V10-2&lt;&gt;W21,IF(V10-2&lt;&gt;W22,0,1),1),1)</f>
        <v>#VALUE!</v>
      </c>
      <c r="X23" s="92" t="e">
        <f>IF(Y10&lt;&gt;X20,IF(Y10&lt;&gt;X21,IF(Y10&lt;&gt;X22,0,1),1),1)</f>
        <v>#VALUE!</v>
      </c>
      <c r="Y23" s="93" t="e">
        <f>IF(Y10-1&lt;&gt;Y20,IF(Y10-1&lt;&gt;Y21,IF(Y10-1&lt;&gt;Y22,0,1),1),1)</f>
        <v>#VALUE!</v>
      </c>
      <c r="Z23" s="94" t="e">
        <f>IF(Y10-2&lt;&gt;Z20,IF(Y10-2&lt;&gt;Z21,IF(Y10-2&lt;&gt;Z22,0,1),1),1)</f>
        <v>#VALUE!</v>
      </c>
      <c r="AA23" s="92" t="e">
        <f>IF(AB10&lt;&gt;AA20,IF(AB10&lt;&gt;AA21,IF(AB10&lt;&gt;AA22,0,1),1),1)</f>
        <v>#VALUE!</v>
      </c>
      <c r="AB23" s="93" t="e">
        <f>IF(AB10-1&lt;&gt;AB20,IF(AB10-1&lt;&gt;AB21,IF(AB10-1&lt;&gt;AB22,0,1),1),1)</f>
        <v>#VALUE!</v>
      </c>
      <c r="AC23" s="94" t="e">
        <f>IF(AB10-2&lt;&gt;AC20,IF(AB10-2&lt;&gt;AC21,IF(AB10-2&lt;&gt;AC22,0,1),1),1)</f>
        <v>#VALUE!</v>
      </c>
    </row>
    <row r="24" spans="1:29" ht="15" customHeight="1">
      <c r="J24" s="91" t="s">
        <v>57</v>
      </c>
      <c r="K24" s="95" t="e">
        <f t="shared" ref="K24:S24" si="0">IF(OR(K19=1,K23=1),1,0)</f>
        <v>#VALUE!</v>
      </c>
      <c r="L24" s="96" t="e">
        <f t="shared" si="0"/>
        <v>#VALUE!</v>
      </c>
      <c r="M24" s="97" t="e">
        <f t="shared" si="0"/>
        <v>#VALUE!</v>
      </c>
      <c r="N24" s="95" t="e">
        <f t="shared" si="0"/>
        <v>#VALUE!</v>
      </c>
      <c r="O24" s="96" t="e">
        <f t="shared" si="0"/>
        <v>#VALUE!</v>
      </c>
      <c r="P24" s="97" t="e">
        <f t="shared" si="0"/>
        <v>#VALUE!</v>
      </c>
      <c r="Q24" s="95" t="e">
        <f t="shared" si="0"/>
        <v>#VALUE!</v>
      </c>
      <c r="R24" s="96" t="e">
        <f t="shared" si="0"/>
        <v>#VALUE!</v>
      </c>
      <c r="S24" s="97" t="e">
        <f t="shared" si="0"/>
        <v>#VALUE!</v>
      </c>
      <c r="U24" s="95" t="e">
        <f t="shared" ref="U24:AC24" si="1">IF(OR(U19=1,U23=1),1,0)</f>
        <v>#VALUE!</v>
      </c>
      <c r="V24" s="96" t="e">
        <f t="shared" si="1"/>
        <v>#VALUE!</v>
      </c>
      <c r="W24" s="97" t="e">
        <f t="shared" si="1"/>
        <v>#VALUE!</v>
      </c>
      <c r="X24" s="95" t="e">
        <f t="shared" si="1"/>
        <v>#VALUE!</v>
      </c>
      <c r="Y24" s="96" t="e">
        <f t="shared" si="1"/>
        <v>#VALUE!</v>
      </c>
      <c r="Z24" s="97" t="e">
        <f t="shared" si="1"/>
        <v>#VALUE!</v>
      </c>
      <c r="AA24" s="95" t="e">
        <f t="shared" si="1"/>
        <v>#VALUE!</v>
      </c>
      <c r="AB24" s="96" t="e">
        <f t="shared" si="1"/>
        <v>#VALUE!</v>
      </c>
      <c r="AC24" s="97" t="e">
        <f t="shared" si="1"/>
        <v>#VALUE!</v>
      </c>
    </row>
    <row r="25" spans="1:29" ht="15" customHeight="1">
      <c r="J25" s="34"/>
      <c r="K25" s="34"/>
      <c r="L25" s="34"/>
      <c r="M25" s="34"/>
      <c r="N25" s="34"/>
      <c r="O25" s="34"/>
      <c r="P25" s="34"/>
      <c r="Q25" s="34"/>
      <c r="R25" s="34"/>
      <c r="S25" s="34"/>
      <c r="U25" s="34"/>
      <c r="V25" s="34"/>
      <c r="W25" s="34"/>
      <c r="X25" s="34"/>
      <c r="Y25" s="34"/>
      <c r="Z25" s="34"/>
      <c r="AA25" s="34"/>
      <c r="AB25" s="34"/>
      <c r="AC25" s="34"/>
    </row>
    <row r="26" spans="1:29" ht="15" customHeight="1">
      <c r="J26" s="83" t="s">
        <v>63</v>
      </c>
      <c r="K26" s="101" t="e">
        <f>IF(AND(M10&lt;&gt;"samedi",M10&lt;&gt;"dimanche"),IF(AND(K24=1,M10="lundi"),3,IF(AND(K24=1,M10="dimanche"),2,IF(K24=1,1,0))),IF(AND(M10="samedi",L24=1),2,IF(M10="samedi",1,IF(AND(M10="dimanche",M24=1),3,2))))</f>
        <v>#VALUE!</v>
      </c>
      <c r="L26" s="82" t="e">
        <f>L10-K26</f>
        <v>#VALUE!</v>
      </c>
      <c r="M26" s="34"/>
      <c r="N26" s="101" t="e">
        <f>IF(AND(P10&lt;&gt;"samedi",P10&lt;&gt;"dimanche"),IF(AND(N24=1,P10="lundi"),3,IF(AND(N24=1,P10="dimanche"),2,IF(N24=1,1,0))),IF(AND(P10="samedi",O24=1),2,IF(P10="samedi",1,IF(AND(P10="dimanche",P24=1),3,2))))</f>
        <v>#VALUE!</v>
      </c>
      <c r="O26" s="82" t="e">
        <f>O10-N26</f>
        <v>#VALUE!</v>
      </c>
      <c r="P26" s="34"/>
      <c r="Q26" s="101" t="e">
        <f>IF(AND(S10&lt;&gt;"samedi",S10&lt;&gt;"dimanche"),IF(AND(Q24=1,S10="lundi"),3,IF(AND(Q24=1,S10="dimanche"),2,IF(Q24=1,1,0))),IF(AND(S10="samedi",R24=1),2,IF(S10="samedi",1,IF(AND(S10="dimanche",S24=1),3,2))))</f>
        <v>#VALUE!</v>
      </c>
      <c r="R26" s="82" t="e">
        <f>R10-Q26</f>
        <v>#VALUE!</v>
      </c>
      <c r="S26" s="34"/>
      <c r="U26" s="101" t="e">
        <f>IF(AND(W10&lt;&gt;"samedi",W10&lt;&gt;"dimanche"),IF(AND(U24=1,W10="lundi"),3,IF(AND(U24=1,W10="dimanche"),2,IF(U24=1,1,0))),IF(AND(W10="samedi",V24=1),2,IF(W10="samedi",1,IF(AND(W10="dimanche",W24=1),3,2))))</f>
        <v>#VALUE!</v>
      </c>
      <c r="V26" s="82" t="e">
        <f>V10-U26</f>
        <v>#VALUE!</v>
      </c>
      <c r="W26" s="34"/>
      <c r="X26" s="101" t="e">
        <f>IF(AND(Z10&lt;&gt;"samedi",Z10&lt;&gt;"dimanche"),IF(AND(X24=1,Z10="lundi"),3,IF(AND(X24=1,Z10="dimanche"),2,IF(X24=1,1,0))),IF(AND(Z10="samedi",Y24=1),2,IF(Z10="samedi",1,IF(AND(Z10="dimanche",Z24=1),3,2))))</f>
        <v>#VALUE!</v>
      </c>
      <c r="Y26" s="82" t="e">
        <f>Y10-X26</f>
        <v>#VALUE!</v>
      </c>
      <c r="Z26" s="34"/>
      <c r="AA26" s="101" t="e">
        <f>IF(AND(AC10&lt;&gt;"samedi",AC10&lt;&gt;"dimanche"),IF(AND(AA24=1,AC10="lundi"),3,IF(AND(AA24=1,AC10="dimanche"),2,IF(AA24=1,1,0))),IF(AND(AC10="samedi",AB24=1),2,IF(AC10="samedi",1,IF(AND(AC10="dimanche",AC24=1),3,2))))</f>
        <v>#VALUE!</v>
      </c>
      <c r="AB26" s="82" t="e">
        <f>AB10-AA26</f>
        <v>#VALUE!</v>
      </c>
      <c r="AC26" s="34"/>
    </row>
    <row r="27" spans="1:29" ht="15" customHeight="1"/>
    <row r="28" spans="1:29" ht="15" customHeight="1"/>
    <row r="29" spans="1:29" ht="15" customHeight="1"/>
    <row r="30" spans="1:29" ht="15" customHeight="1">
      <c r="A30" s="98" t="s">
        <v>92</v>
      </c>
      <c r="B30" s="2"/>
      <c r="C30" s="2"/>
    </row>
    <row r="31" spans="1:29" ht="15" customHeight="1">
      <c r="A31" s="99" t="s">
        <v>93</v>
      </c>
      <c r="B31" s="100">
        <v>2</v>
      </c>
      <c r="C31" s="98" t="s">
        <v>85</v>
      </c>
    </row>
    <row r="32" spans="1:29" ht="15" customHeight="1">
      <c r="A32" s="99" t="s">
        <v>94</v>
      </c>
      <c r="B32" s="100">
        <v>3</v>
      </c>
      <c r="C32" s="98" t="s">
        <v>95</v>
      </c>
    </row>
    <row r="33" spans="1:9" ht="15" customHeight="1">
      <c r="A33" s="99" t="s">
        <v>96</v>
      </c>
      <c r="B33" s="100">
        <v>5</v>
      </c>
      <c r="C33" s="98" t="s">
        <v>97</v>
      </c>
      <c r="D33" s="139"/>
      <c r="E33" s="139"/>
      <c r="F33" s="139"/>
      <c r="G33" s="139"/>
    </row>
    <row r="34" spans="1:9" ht="15" customHeight="1">
      <c r="A34" s="11"/>
      <c r="B34" s="152"/>
      <c r="C34" s="139"/>
      <c r="D34" s="139"/>
      <c r="E34" s="139"/>
      <c r="F34" s="139"/>
      <c r="G34" s="139"/>
    </row>
    <row r="35" spans="1:9" ht="15" customHeight="1">
      <c r="A35" s="11"/>
      <c r="B35" s="152"/>
      <c r="C35" s="139"/>
      <c r="D35" s="139"/>
      <c r="E35" s="139"/>
      <c r="F35" s="139"/>
      <c r="G35" s="139"/>
    </row>
    <row r="36" spans="1:9" ht="15" customHeight="1">
      <c r="A36" s="11"/>
      <c r="B36" s="152"/>
      <c r="C36" s="139"/>
      <c r="D36" s="139"/>
      <c r="E36" s="139"/>
      <c r="F36" s="139"/>
      <c r="G36" s="139"/>
    </row>
    <row r="37" spans="1:9" ht="15" customHeight="1">
      <c r="A37" s="11"/>
      <c r="B37" s="152"/>
      <c r="C37" s="139"/>
      <c r="D37" s="139"/>
      <c r="E37" s="139"/>
      <c r="F37" s="139"/>
      <c r="G37" s="139"/>
    </row>
    <row r="38" spans="1:9" ht="15" customHeight="1">
      <c r="A38" s="11"/>
      <c r="B38" s="152"/>
      <c r="C38" s="139"/>
      <c r="D38" s="139"/>
      <c r="E38" s="139"/>
      <c r="F38" s="139"/>
      <c r="G38" s="139"/>
    </row>
    <row r="39" spans="1:9" ht="15" customHeight="1">
      <c r="A39" s="11"/>
      <c r="B39" s="152"/>
      <c r="C39" s="139"/>
      <c r="D39" s="139"/>
      <c r="E39" s="139"/>
      <c r="F39" s="139"/>
      <c r="G39" s="139"/>
      <c r="I39" s="32"/>
    </row>
    <row r="40" spans="1:9" ht="15" customHeight="1"/>
    <row r="41" spans="1:9" ht="15" customHeight="1"/>
    <row r="42" spans="1:9" ht="18" customHeight="1"/>
    <row r="43" spans="1:9" ht="18" customHeight="1"/>
    <row r="44" spans="1:9" ht="18" customHeight="1"/>
    <row r="45" spans="1:9" ht="15" customHeight="1"/>
    <row r="46" spans="1:9" ht="15" customHeight="1"/>
    <row r="47" spans="1:9" ht="15" customHeight="1"/>
    <row r="48" spans="1:9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</sheetData>
  <sheetProtection sheet="1" objects="1" scenarios="1"/>
  <mergeCells count="9">
    <mergeCell ref="D19:E19"/>
    <mergeCell ref="D20:E20"/>
    <mergeCell ref="D21:E21"/>
    <mergeCell ref="D22:E22"/>
    <mergeCell ref="B6:G6"/>
    <mergeCell ref="D11:E11"/>
    <mergeCell ref="D12:E12"/>
    <mergeCell ref="D13:E13"/>
    <mergeCell ref="D10:E10"/>
  </mergeCells>
  <conditionalFormatting sqref="A11 A20">
    <cfRule type="expression" dxfId="13" priority="1" stopIfTrue="1">
      <formula>AND((D11-TODAY())&lt;=B33,I11=FALSE)</formula>
    </cfRule>
  </conditionalFormatting>
  <conditionalFormatting sqref="B11 B20">
    <cfRule type="expression" dxfId="12" priority="2" stopIfTrue="1">
      <formula>AND((D11-TODAY())&lt;=B33,I11=FALSE)</formula>
    </cfRule>
  </conditionalFormatting>
  <conditionalFormatting sqref="C11 C20">
    <cfRule type="expression" dxfId="11" priority="3" stopIfTrue="1">
      <formula>AND((D11-TODAY())&lt;=B33,I11=FALSE)</formula>
    </cfRule>
  </conditionalFormatting>
  <conditionalFormatting sqref="A12 A21">
    <cfRule type="expression" dxfId="10" priority="4" stopIfTrue="1">
      <formula>AND((D12-TODAY())&lt;=B32,I12=FALSE)</formula>
    </cfRule>
  </conditionalFormatting>
  <conditionalFormatting sqref="B12 B21">
    <cfRule type="expression" dxfId="9" priority="5" stopIfTrue="1">
      <formula>AND((D12-TODAY())&lt;=B32,I12=FALSE)</formula>
    </cfRule>
  </conditionalFormatting>
  <conditionalFormatting sqref="C12 C21">
    <cfRule type="expression" dxfId="8" priority="6" stopIfTrue="1">
      <formula>AND((D12-TODAY())&lt;=B32,I12=FALSE)</formula>
    </cfRule>
  </conditionalFormatting>
  <conditionalFormatting sqref="A13 A22">
    <cfRule type="expression" dxfId="7" priority="7" stopIfTrue="1">
      <formula>AND((D13-TODAY())&lt;=B31,I13=FALSE)</formula>
    </cfRule>
  </conditionalFormatting>
  <conditionalFormatting sqref="C13 C22">
    <cfRule type="expression" dxfId="6" priority="8" stopIfTrue="1">
      <formula>AND((D13-TODAY())&lt;=B31,I13=FALSE)</formula>
    </cfRule>
  </conditionalFormatting>
  <conditionalFormatting sqref="B22 B13">
    <cfRule type="expression" dxfId="5" priority="9" stopIfTrue="1">
      <formula>AND((D13-TODAY())&lt;=B31,I13=FALSE)</formula>
    </cfRule>
  </conditionalFormatting>
  <conditionalFormatting sqref="D20:E20">
    <cfRule type="cellIs" dxfId="4" priority="10" stopIfTrue="1" operator="notEqual">
      <formula>""</formula>
    </cfRule>
  </conditionalFormatting>
  <conditionalFormatting sqref="D11:E11">
    <cfRule type="cellIs" dxfId="3" priority="11" stopIfTrue="1" operator="notEqual">
      <formula>"Sans objet"</formula>
    </cfRule>
  </conditionalFormatting>
  <conditionalFormatting sqref="C16">
    <cfRule type="cellIs" dxfId="2" priority="12" stopIfTrue="1" operator="notEqual">
      <formula>""</formula>
    </cfRule>
  </conditionalFormatting>
  <conditionalFormatting sqref="D16">
    <cfRule type="expression" dxfId="1" priority="13" stopIfTrue="1">
      <formula>C16&lt;&gt;""</formula>
    </cfRule>
  </conditionalFormatting>
  <conditionalFormatting sqref="E16">
    <cfRule type="expression" dxfId="0" priority="14" stopIfTrue="1">
      <formula>C16&lt;&gt;""</formula>
    </cfRule>
  </conditionalFormatting>
  <printOptions horizontalCentered="1"/>
  <pageMargins left="0.59055118110236227" right="0.59055118110236227" top="0.78740157480314965" bottom="0.78740157480314965" header="0.51181102362204722" footer="0.51181102362204722"/>
  <pageSetup paperSize="9" scale="91" orientation="portrait" r:id="rId1"/>
  <headerFooter alignWithMargins="0">
    <oddHeader>&amp;L&amp;"Bookman Old Style,Gras"&amp;8&amp;UDécret du 11 mars 1999&amp;C&amp;"Bookman Old Style,Gras"Délais 1&amp;Xère&amp;X instance&amp;R&amp;"Arial,Gras italique"&amp;8&amp;A</oddHeader>
    <oddFooter xml:space="preserve">&amp;L&amp;"Cambria,Normal"&amp;8Feuille créée à partir de l'application RGPE&amp;C&amp;"Calibri,Normal"&amp;8Dossiers introduits à partir du 4/12/2011
(Décret programme du 27/10/2011)&amp;R&amp;"Comic Sans MS,Gras"&amp;8Imprimé le &amp;D 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Feuil3"/>
  <dimension ref="A1:D507"/>
  <sheetViews>
    <sheetView workbookViewId="0">
      <selection sqref="A1:D1"/>
    </sheetView>
  </sheetViews>
  <sheetFormatPr baseColWidth="10" defaultRowHeight="12.75"/>
  <cols>
    <col min="2" max="2" width="11.42578125" style="104"/>
    <col min="3" max="3" width="92.140625" style="105" bestFit="1" customWidth="1"/>
    <col min="4" max="4" width="5.140625" customWidth="1"/>
  </cols>
  <sheetData>
    <row r="1" spans="1:4">
      <c r="A1" s="402" t="s">
        <v>98</v>
      </c>
      <c r="B1" s="402"/>
      <c r="C1" s="402"/>
      <c r="D1" s="402"/>
    </row>
    <row r="3" spans="1:4">
      <c r="A3" s="6">
        <v>1</v>
      </c>
      <c r="B3" s="102" t="s">
        <v>99</v>
      </c>
      <c r="C3" s="103" t="s">
        <v>100</v>
      </c>
    </row>
    <row r="4" spans="1:4">
      <c r="A4" s="6">
        <v>2</v>
      </c>
      <c r="B4" s="102" t="s">
        <v>101</v>
      </c>
      <c r="C4" s="103" t="s">
        <v>102</v>
      </c>
    </row>
    <row r="5" spans="1:4">
      <c r="A5" s="6">
        <v>3</v>
      </c>
      <c r="B5" s="102" t="s">
        <v>103</v>
      </c>
      <c r="C5" s="103" t="s">
        <v>104</v>
      </c>
    </row>
    <row r="6" spans="1:4">
      <c r="A6" s="6">
        <v>4</v>
      </c>
      <c r="B6" s="102" t="s">
        <v>105</v>
      </c>
      <c r="C6" s="103" t="s">
        <v>106</v>
      </c>
    </row>
    <row r="7" spans="1:4">
      <c r="A7" s="6">
        <v>5</v>
      </c>
      <c r="B7" s="102" t="s">
        <v>107</v>
      </c>
      <c r="C7" s="344" t="s">
        <v>1096</v>
      </c>
    </row>
    <row r="8" spans="1:4">
      <c r="A8" s="6">
        <v>6</v>
      </c>
      <c r="B8" s="102" t="s">
        <v>108</v>
      </c>
      <c r="C8" s="103" t="s">
        <v>109</v>
      </c>
    </row>
    <row r="9" spans="1:4">
      <c r="A9" s="6">
        <v>7</v>
      </c>
      <c r="B9" s="102" t="s">
        <v>110</v>
      </c>
      <c r="C9" s="103" t="s">
        <v>111</v>
      </c>
    </row>
    <row r="10" spans="1:4">
      <c r="A10" s="6">
        <v>8</v>
      </c>
      <c r="B10" s="102" t="s">
        <v>112</v>
      </c>
      <c r="C10" s="103" t="s">
        <v>1097</v>
      </c>
    </row>
    <row r="11" spans="1:4">
      <c r="A11" s="6">
        <v>9</v>
      </c>
      <c r="B11" s="102" t="s">
        <v>978</v>
      </c>
      <c r="C11" s="103" t="s">
        <v>979</v>
      </c>
    </row>
    <row r="12" spans="1:4">
      <c r="A12" s="6">
        <v>10</v>
      </c>
      <c r="B12" s="102" t="s">
        <v>113</v>
      </c>
      <c r="C12" s="103" t="s">
        <v>114</v>
      </c>
    </row>
    <row r="13" spans="1:4">
      <c r="A13" s="6">
        <v>11</v>
      </c>
      <c r="B13" s="102" t="s">
        <v>115</v>
      </c>
      <c r="C13" s="103" t="s">
        <v>116</v>
      </c>
    </row>
    <row r="14" spans="1:4">
      <c r="A14" s="6">
        <v>12</v>
      </c>
      <c r="B14" s="102" t="s">
        <v>117</v>
      </c>
      <c r="C14" s="103" t="s">
        <v>1098</v>
      </c>
    </row>
    <row r="15" spans="1:4">
      <c r="A15" s="6">
        <v>13</v>
      </c>
      <c r="B15" s="102" t="s">
        <v>118</v>
      </c>
      <c r="C15" s="103" t="s">
        <v>119</v>
      </c>
    </row>
    <row r="16" spans="1:4">
      <c r="A16" s="6">
        <v>14</v>
      </c>
      <c r="B16" s="102" t="s">
        <v>120</v>
      </c>
      <c r="C16" s="103" t="s">
        <v>121</v>
      </c>
    </row>
    <row r="17" spans="1:3">
      <c r="A17" s="6">
        <v>15</v>
      </c>
      <c r="B17" s="102" t="s">
        <v>122</v>
      </c>
      <c r="C17" s="103" t="s">
        <v>1099</v>
      </c>
    </row>
    <row r="18" spans="1:3">
      <c r="A18" s="6">
        <v>16</v>
      </c>
      <c r="B18" s="102" t="s">
        <v>123</v>
      </c>
      <c r="C18" s="103" t="s">
        <v>124</v>
      </c>
    </row>
    <row r="19" spans="1:3">
      <c r="A19" s="6">
        <v>17</v>
      </c>
      <c r="B19" s="102" t="s">
        <v>125</v>
      </c>
      <c r="C19" s="103" t="s">
        <v>126</v>
      </c>
    </row>
    <row r="20" spans="1:3">
      <c r="A20" s="6">
        <v>18</v>
      </c>
      <c r="B20" s="102" t="s">
        <v>127</v>
      </c>
      <c r="C20" s="103" t="s">
        <v>128</v>
      </c>
    </row>
    <row r="21" spans="1:3">
      <c r="A21" s="6">
        <v>19</v>
      </c>
      <c r="B21" s="102" t="s">
        <v>129</v>
      </c>
      <c r="C21" s="103" t="s">
        <v>130</v>
      </c>
    </row>
    <row r="22" spans="1:3">
      <c r="A22" s="6">
        <v>20</v>
      </c>
      <c r="B22" s="102" t="s">
        <v>131</v>
      </c>
      <c r="C22" s="103" t="s">
        <v>132</v>
      </c>
    </row>
    <row r="23" spans="1:3">
      <c r="A23" s="6">
        <v>21</v>
      </c>
      <c r="B23" s="102" t="s">
        <v>133</v>
      </c>
      <c r="C23" s="103" t="s">
        <v>134</v>
      </c>
    </row>
    <row r="24" spans="1:3">
      <c r="A24" s="6">
        <v>22</v>
      </c>
      <c r="B24" s="102" t="s">
        <v>135</v>
      </c>
      <c r="C24" s="103" t="s">
        <v>1100</v>
      </c>
    </row>
    <row r="25" spans="1:3">
      <c r="A25" s="6">
        <v>23</v>
      </c>
      <c r="B25" s="102" t="s">
        <v>136</v>
      </c>
      <c r="C25" s="103" t="s">
        <v>1101</v>
      </c>
    </row>
    <row r="26" spans="1:3">
      <c r="A26" s="6">
        <v>24</v>
      </c>
      <c r="B26" s="102" t="s">
        <v>137</v>
      </c>
      <c r="C26" s="103" t="s">
        <v>138</v>
      </c>
    </row>
    <row r="27" spans="1:3">
      <c r="A27" s="6">
        <v>25</v>
      </c>
      <c r="B27" s="102" t="s">
        <v>139</v>
      </c>
      <c r="C27" s="103" t="s">
        <v>140</v>
      </c>
    </row>
    <row r="28" spans="1:3">
      <c r="A28" s="6">
        <v>26</v>
      </c>
      <c r="B28" s="102" t="s">
        <v>141</v>
      </c>
      <c r="C28" s="103" t="s">
        <v>142</v>
      </c>
    </row>
    <row r="29" spans="1:3">
      <c r="A29" s="6">
        <v>27</v>
      </c>
      <c r="B29" s="102" t="s">
        <v>143</v>
      </c>
      <c r="C29" s="103" t="s">
        <v>144</v>
      </c>
    </row>
    <row r="30" spans="1:3">
      <c r="A30" s="6">
        <v>28</v>
      </c>
      <c r="B30" s="102" t="s">
        <v>145</v>
      </c>
      <c r="C30" s="103" t="s">
        <v>1102</v>
      </c>
    </row>
    <row r="31" spans="1:3">
      <c r="A31" s="6">
        <v>29</v>
      </c>
      <c r="B31" s="102" t="s">
        <v>146</v>
      </c>
      <c r="C31" s="103" t="s">
        <v>147</v>
      </c>
    </row>
    <row r="32" spans="1:3">
      <c r="A32" s="6">
        <v>30</v>
      </c>
      <c r="B32" s="102" t="s">
        <v>148</v>
      </c>
      <c r="C32" s="103" t="s">
        <v>1103</v>
      </c>
    </row>
    <row r="33" spans="1:3">
      <c r="A33" s="6">
        <v>31</v>
      </c>
      <c r="B33" s="102" t="s">
        <v>149</v>
      </c>
      <c r="C33" s="103" t="s">
        <v>1104</v>
      </c>
    </row>
    <row r="34" spans="1:3">
      <c r="A34" s="6">
        <v>32</v>
      </c>
      <c r="B34" s="102" t="s">
        <v>150</v>
      </c>
      <c r="C34" s="103" t="s">
        <v>151</v>
      </c>
    </row>
    <row r="35" spans="1:3">
      <c r="A35" s="6">
        <v>33</v>
      </c>
      <c r="B35" s="102" t="s">
        <v>152</v>
      </c>
      <c r="C35" s="103" t="s">
        <v>153</v>
      </c>
    </row>
    <row r="36" spans="1:3">
      <c r="A36" s="6">
        <v>34</v>
      </c>
      <c r="B36" s="102" t="s">
        <v>154</v>
      </c>
      <c r="C36" s="103" t="s">
        <v>155</v>
      </c>
    </row>
    <row r="37" spans="1:3">
      <c r="A37" s="6">
        <v>35</v>
      </c>
      <c r="B37" s="102" t="s">
        <v>156</v>
      </c>
      <c r="C37" s="103" t="s">
        <v>157</v>
      </c>
    </row>
    <row r="38" spans="1:3">
      <c r="A38" s="6">
        <v>36</v>
      </c>
      <c r="B38" s="102" t="s">
        <v>158</v>
      </c>
      <c r="C38" s="103" t="s">
        <v>159</v>
      </c>
    </row>
    <row r="39" spans="1:3">
      <c r="A39" s="6">
        <v>37</v>
      </c>
      <c r="B39" s="102" t="s">
        <v>160</v>
      </c>
      <c r="C39" s="103" t="s">
        <v>161</v>
      </c>
    </row>
    <row r="40" spans="1:3">
      <c r="A40" s="6">
        <v>38</v>
      </c>
      <c r="B40" s="102" t="s">
        <v>162</v>
      </c>
      <c r="C40" s="103" t="s">
        <v>163</v>
      </c>
    </row>
    <row r="41" spans="1:3">
      <c r="A41" s="6">
        <v>39</v>
      </c>
      <c r="B41" s="102" t="s">
        <v>164</v>
      </c>
      <c r="C41" s="103" t="s">
        <v>165</v>
      </c>
    </row>
    <row r="42" spans="1:3">
      <c r="A42" s="6">
        <v>40</v>
      </c>
      <c r="B42" s="102" t="s">
        <v>166</v>
      </c>
      <c r="C42" s="103" t="s">
        <v>167</v>
      </c>
    </row>
    <row r="43" spans="1:3">
      <c r="A43" s="6">
        <v>41</v>
      </c>
      <c r="B43" s="102" t="s">
        <v>168</v>
      </c>
      <c r="C43" s="103" t="s">
        <v>1105</v>
      </c>
    </row>
    <row r="44" spans="1:3">
      <c r="A44" s="6">
        <v>42</v>
      </c>
      <c r="B44" s="102" t="s">
        <v>169</v>
      </c>
      <c r="C44" s="103" t="s">
        <v>1106</v>
      </c>
    </row>
    <row r="45" spans="1:3">
      <c r="A45" s="6">
        <v>43</v>
      </c>
      <c r="B45" s="102" t="s">
        <v>170</v>
      </c>
      <c r="C45" s="103" t="s">
        <v>171</v>
      </c>
    </row>
    <row r="46" spans="1:3">
      <c r="A46" s="6">
        <v>44</v>
      </c>
      <c r="B46" s="102" t="s">
        <v>172</v>
      </c>
      <c r="C46" s="103" t="s">
        <v>173</v>
      </c>
    </row>
    <row r="47" spans="1:3">
      <c r="A47" s="6">
        <v>45</v>
      </c>
      <c r="B47" s="102" t="s">
        <v>174</v>
      </c>
      <c r="C47" s="103" t="s">
        <v>175</v>
      </c>
    </row>
    <row r="48" spans="1:3">
      <c r="A48" s="6">
        <v>46</v>
      </c>
      <c r="B48" s="102" t="s">
        <v>176</v>
      </c>
      <c r="C48" s="103" t="s">
        <v>177</v>
      </c>
    </row>
    <row r="49" spans="1:3">
      <c r="A49" s="6">
        <v>47</v>
      </c>
      <c r="B49" s="102" t="s">
        <v>178</v>
      </c>
      <c r="C49" s="103" t="s">
        <v>179</v>
      </c>
    </row>
    <row r="50" spans="1:3">
      <c r="A50" s="6">
        <v>48</v>
      </c>
      <c r="B50" s="102" t="s">
        <v>180</v>
      </c>
      <c r="C50" s="103" t="s">
        <v>1107</v>
      </c>
    </row>
    <row r="51" spans="1:3">
      <c r="A51" s="6">
        <v>49</v>
      </c>
      <c r="B51" s="102" t="s">
        <v>181</v>
      </c>
      <c r="C51" s="103" t="s">
        <v>1108</v>
      </c>
    </row>
    <row r="52" spans="1:3">
      <c r="A52" s="6">
        <v>50</v>
      </c>
      <c r="B52" s="102" t="s">
        <v>182</v>
      </c>
      <c r="C52" s="103" t="s">
        <v>183</v>
      </c>
    </row>
    <row r="53" spans="1:3">
      <c r="A53" s="6">
        <v>51</v>
      </c>
      <c r="B53" s="102" t="s">
        <v>184</v>
      </c>
      <c r="C53" s="103" t="s">
        <v>185</v>
      </c>
    </row>
    <row r="54" spans="1:3">
      <c r="A54" s="6">
        <v>52</v>
      </c>
      <c r="B54" s="102" t="s">
        <v>186</v>
      </c>
      <c r="C54" s="103" t="s">
        <v>187</v>
      </c>
    </row>
    <row r="55" spans="1:3">
      <c r="A55" s="6">
        <v>53</v>
      </c>
      <c r="B55" s="102" t="s">
        <v>188</v>
      </c>
      <c r="C55" s="103" t="s">
        <v>189</v>
      </c>
    </row>
    <row r="56" spans="1:3">
      <c r="A56" s="6">
        <v>54</v>
      </c>
      <c r="B56" s="102" t="s">
        <v>190</v>
      </c>
      <c r="C56" s="103" t="s">
        <v>191</v>
      </c>
    </row>
    <row r="57" spans="1:3">
      <c r="A57" s="6">
        <v>55</v>
      </c>
      <c r="B57" s="102" t="s">
        <v>192</v>
      </c>
      <c r="C57" s="103" t="s">
        <v>193</v>
      </c>
    </row>
    <row r="58" spans="1:3">
      <c r="A58" s="6">
        <v>56</v>
      </c>
      <c r="B58" s="102" t="s">
        <v>194</v>
      </c>
      <c r="C58" s="103" t="s">
        <v>195</v>
      </c>
    </row>
    <row r="59" spans="1:3">
      <c r="A59" s="6">
        <v>57</v>
      </c>
      <c r="B59" s="102" t="s">
        <v>196</v>
      </c>
      <c r="C59" s="103" t="s">
        <v>1109</v>
      </c>
    </row>
    <row r="60" spans="1:3">
      <c r="A60" s="6">
        <v>58</v>
      </c>
      <c r="B60" s="102" t="s">
        <v>197</v>
      </c>
      <c r="C60" s="103" t="s">
        <v>198</v>
      </c>
    </row>
    <row r="61" spans="1:3">
      <c r="A61" s="6">
        <v>59</v>
      </c>
      <c r="B61" s="102" t="s">
        <v>199</v>
      </c>
      <c r="C61" s="103" t="s">
        <v>200</v>
      </c>
    </row>
    <row r="62" spans="1:3">
      <c r="A62" s="6">
        <v>60</v>
      </c>
      <c r="B62" s="102" t="s">
        <v>201</v>
      </c>
      <c r="C62" s="103" t="s">
        <v>1110</v>
      </c>
    </row>
    <row r="63" spans="1:3">
      <c r="A63" s="6">
        <v>61</v>
      </c>
      <c r="B63" s="102" t="s">
        <v>202</v>
      </c>
      <c r="C63" s="103" t="s">
        <v>203</v>
      </c>
    </row>
    <row r="64" spans="1:3">
      <c r="A64" s="6">
        <v>62</v>
      </c>
      <c r="B64" s="102" t="s">
        <v>204</v>
      </c>
      <c r="C64" s="103" t="s">
        <v>1111</v>
      </c>
    </row>
    <row r="65" spans="1:3">
      <c r="A65" s="6">
        <v>63</v>
      </c>
      <c r="B65" s="102" t="s">
        <v>205</v>
      </c>
      <c r="C65" s="103" t="s">
        <v>1112</v>
      </c>
    </row>
    <row r="66" spans="1:3">
      <c r="A66" s="6">
        <v>64</v>
      </c>
      <c r="B66" s="102" t="s">
        <v>206</v>
      </c>
      <c r="C66" s="103" t="s">
        <v>207</v>
      </c>
    </row>
    <row r="67" spans="1:3">
      <c r="A67" s="6">
        <v>65</v>
      </c>
      <c r="B67" s="102" t="s">
        <v>208</v>
      </c>
      <c r="C67" s="103" t="s">
        <v>209</v>
      </c>
    </row>
    <row r="68" spans="1:3">
      <c r="A68" s="6">
        <v>66</v>
      </c>
      <c r="B68" s="102" t="s">
        <v>210</v>
      </c>
      <c r="C68" s="103" t="s">
        <v>211</v>
      </c>
    </row>
    <row r="69" spans="1:3">
      <c r="A69" s="6">
        <v>67</v>
      </c>
      <c r="B69" s="102" t="s">
        <v>212</v>
      </c>
      <c r="C69" s="103" t="s">
        <v>213</v>
      </c>
    </row>
    <row r="70" spans="1:3">
      <c r="A70" s="6">
        <v>68</v>
      </c>
      <c r="B70" s="102" t="s">
        <v>214</v>
      </c>
      <c r="C70" s="103" t="s">
        <v>215</v>
      </c>
    </row>
    <row r="71" spans="1:3">
      <c r="A71" s="6">
        <v>69</v>
      </c>
      <c r="B71" s="102" t="s">
        <v>216</v>
      </c>
      <c r="C71" s="103" t="s">
        <v>217</v>
      </c>
    </row>
    <row r="72" spans="1:3">
      <c r="A72" s="6">
        <v>70</v>
      </c>
      <c r="B72" s="102" t="s">
        <v>218</v>
      </c>
      <c r="C72" s="103" t="s">
        <v>219</v>
      </c>
    </row>
    <row r="73" spans="1:3">
      <c r="A73" s="6">
        <v>71</v>
      </c>
      <c r="B73" s="102" t="s">
        <v>220</v>
      </c>
      <c r="C73" s="103" t="s">
        <v>221</v>
      </c>
    </row>
    <row r="74" spans="1:3">
      <c r="A74" s="6">
        <v>72</v>
      </c>
      <c r="B74" s="102" t="s">
        <v>222</v>
      </c>
      <c r="C74" s="103" t="s">
        <v>223</v>
      </c>
    </row>
    <row r="75" spans="1:3">
      <c r="A75" s="6">
        <v>73</v>
      </c>
      <c r="B75" s="102" t="s">
        <v>224</v>
      </c>
      <c r="C75" s="103" t="s">
        <v>225</v>
      </c>
    </row>
    <row r="76" spans="1:3">
      <c r="A76" s="6">
        <v>74</v>
      </c>
      <c r="B76" s="102" t="s">
        <v>226</v>
      </c>
      <c r="C76" s="103" t="s">
        <v>1113</v>
      </c>
    </row>
    <row r="77" spans="1:3">
      <c r="A77" s="6">
        <v>75</v>
      </c>
      <c r="B77" s="102" t="s">
        <v>227</v>
      </c>
      <c r="C77" s="103" t="s">
        <v>228</v>
      </c>
    </row>
    <row r="78" spans="1:3">
      <c r="A78" s="6">
        <v>76</v>
      </c>
      <c r="B78" s="102" t="s">
        <v>229</v>
      </c>
      <c r="C78" s="103" t="s">
        <v>230</v>
      </c>
    </row>
    <row r="79" spans="1:3">
      <c r="A79" s="6">
        <v>77</v>
      </c>
      <c r="B79" s="102" t="s">
        <v>231</v>
      </c>
      <c r="C79" s="103" t="s">
        <v>232</v>
      </c>
    </row>
    <row r="80" spans="1:3">
      <c r="A80" s="6">
        <v>78</v>
      </c>
      <c r="B80" s="102" t="s">
        <v>233</v>
      </c>
      <c r="C80" s="103" t="s">
        <v>234</v>
      </c>
    </row>
    <row r="81" spans="1:3">
      <c r="A81" s="6">
        <v>79</v>
      </c>
      <c r="B81" s="102" t="s">
        <v>235</v>
      </c>
      <c r="C81" s="103" t="s">
        <v>1114</v>
      </c>
    </row>
    <row r="82" spans="1:3">
      <c r="A82" s="6">
        <v>80</v>
      </c>
      <c r="B82" s="102" t="s">
        <v>236</v>
      </c>
      <c r="C82" s="103" t="s">
        <v>237</v>
      </c>
    </row>
    <row r="83" spans="1:3">
      <c r="A83" s="6">
        <v>81</v>
      </c>
      <c r="B83" s="102" t="s">
        <v>238</v>
      </c>
      <c r="C83" s="103" t="s">
        <v>1115</v>
      </c>
    </row>
    <row r="84" spans="1:3">
      <c r="A84" s="6">
        <v>82</v>
      </c>
      <c r="B84" s="102" t="s">
        <v>239</v>
      </c>
      <c r="C84" s="103" t="s">
        <v>240</v>
      </c>
    </row>
    <row r="85" spans="1:3">
      <c r="A85" s="6">
        <v>83</v>
      </c>
      <c r="B85" s="102" t="s">
        <v>241</v>
      </c>
      <c r="C85" s="103" t="s">
        <v>242</v>
      </c>
    </row>
    <row r="86" spans="1:3">
      <c r="A86" s="6">
        <v>84</v>
      </c>
      <c r="B86" s="102" t="s">
        <v>243</v>
      </c>
      <c r="C86" s="103" t="s">
        <v>244</v>
      </c>
    </row>
    <row r="87" spans="1:3">
      <c r="A87" s="6">
        <v>85</v>
      </c>
      <c r="B87" s="102" t="s">
        <v>245</v>
      </c>
      <c r="C87" s="103" t="s">
        <v>246</v>
      </c>
    </row>
    <row r="88" spans="1:3">
      <c r="A88" s="6">
        <v>86</v>
      </c>
      <c r="B88" s="102" t="s">
        <v>247</v>
      </c>
      <c r="C88" s="103" t="s">
        <v>1116</v>
      </c>
    </row>
    <row r="89" spans="1:3">
      <c r="A89" s="6">
        <v>87</v>
      </c>
      <c r="B89" s="102" t="s">
        <v>248</v>
      </c>
      <c r="C89" s="103" t="s">
        <v>1117</v>
      </c>
    </row>
    <row r="90" spans="1:3">
      <c r="A90" s="6">
        <v>88</v>
      </c>
      <c r="B90" s="102" t="s">
        <v>249</v>
      </c>
      <c r="C90" s="103" t="s">
        <v>250</v>
      </c>
    </row>
    <row r="91" spans="1:3">
      <c r="A91" s="6">
        <v>89</v>
      </c>
      <c r="B91" s="102" t="s">
        <v>251</v>
      </c>
      <c r="C91" s="103" t="s">
        <v>252</v>
      </c>
    </row>
    <row r="92" spans="1:3">
      <c r="A92" s="6">
        <v>90</v>
      </c>
      <c r="B92" s="102" t="s">
        <v>253</v>
      </c>
      <c r="C92" s="103" t="s">
        <v>254</v>
      </c>
    </row>
    <row r="93" spans="1:3">
      <c r="A93" s="6">
        <v>91</v>
      </c>
      <c r="B93" s="102" t="s">
        <v>255</v>
      </c>
      <c r="C93" s="103" t="s">
        <v>256</v>
      </c>
    </row>
    <row r="94" spans="1:3">
      <c r="A94" s="6">
        <v>92</v>
      </c>
      <c r="B94" s="102" t="s">
        <v>257</v>
      </c>
      <c r="C94" s="103" t="s">
        <v>258</v>
      </c>
    </row>
    <row r="95" spans="1:3">
      <c r="A95" s="6">
        <v>93</v>
      </c>
      <c r="B95" s="102" t="s">
        <v>259</v>
      </c>
      <c r="C95" s="103" t="s">
        <v>1118</v>
      </c>
    </row>
    <row r="96" spans="1:3">
      <c r="A96" s="6">
        <v>94</v>
      </c>
      <c r="B96" s="102" t="s">
        <v>260</v>
      </c>
      <c r="C96" s="103" t="s">
        <v>261</v>
      </c>
    </row>
    <row r="97" spans="1:3">
      <c r="A97" s="6">
        <v>95</v>
      </c>
      <c r="B97" s="102" t="s">
        <v>262</v>
      </c>
      <c r="C97" s="103" t="s">
        <v>263</v>
      </c>
    </row>
    <row r="98" spans="1:3">
      <c r="A98" s="6">
        <v>96</v>
      </c>
      <c r="B98" s="102" t="s">
        <v>264</v>
      </c>
      <c r="C98" s="103" t="s">
        <v>1119</v>
      </c>
    </row>
    <row r="99" spans="1:3">
      <c r="A99" s="6">
        <v>97</v>
      </c>
      <c r="B99" s="102" t="s">
        <v>265</v>
      </c>
      <c r="C99" s="103" t="s">
        <v>266</v>
      </c>
    </row>
    <row r="100" spans="1:3">
      <c r="A100" s="6">
        <v>98</v>
      </c>
      <c r="B100" s="102" t="s">
        <v>267</v>
      </c>
      <c r="C100" s="103" t="s">
        <v>268</v>
      </c>
    </row>
    <row r="101" spans="1:3">
      <c r="A101" s="6">
        <v>99</v>
      </c>
      <c r="B101" s="102" t="s">
        <v>269</v>
      </c>
      <c r="C101" s="103" t="s">
        <v>270</v>
      </c>
    </row>
    <row r="102" spans="1:3">
      <c r="A102" s="6">
        <v>100</v>
      </c>
      <c r="B102" s="102" t="s">
        <v>271</v>
      </c>
      <c r="C102" s="103" t="s">
        <v>272</v>
      </c>
    </row>
    <row r="103" spans="1:3">
      <c r="A103" s="6">
        <v>101</v>
      </c>
      <c r="B103" s="102" t="s">
        <v>273</v>
      </c>
      <c r="C103" s="103" t="s">
        <v>1120</v>
      </c>
    </row>
    <row r="104" spans="1:3">
      <c r="A104" s="6">
        <v>102</v>
      </c>
      <c r="B104" s="102" t="s">
        <v>274</v>
      </c>
      <c r="C104" s="103" t="s">
        <v>1121</v>
      </c>
    </row>
    <row r="105" spans="1:3">
      <c r="A105" s="6">
        <v>103</v>
      </c>
      <c r="B105" s="102" t="s">
        <v>275</v>
      </c>
      <c r="C105" s="103" t="s">
        <v>1122</v>
      </c>
    </row>
    <row r="106" spans="1:3">
      <c r="A106" s="6">
        <v>104</v>
      </c>
      <c r="B106" s="102" t="s">
        <v>276</v>
      </c>
      <c r="C106" s="103" t="s">
        <v>277</v>
      </c>
    </row>
    <row r="107" spans="1:3">
      <c r="A107" s="6">
        <v>105</v>
      </c>
      <c r="B107" s="102" t="s">
        <v>278</v>
      </c>
      <c r="C107" s="103" t="s">
        <v>279</v>
      </c>
    </row>
    <row r="108" spans="1:3">
      <c r="A108" s="6">
        <v>106</v>
      </c>
      <c r="B108" s="102" t="s">
        <v>280</v>
      </c>
      <c r="C108" s="103" t="s">
        <v>1123</v>
      </c>
    </row>
    <row r="109" spans="1:3">
      <c r="A109" s="6">
        <v>107</v>
      </c>
      <c r="B109" s="102" t="s">
        <v>281</v>
      </c>
      <c r="C109" s="103" t="s">
        <v>1124</v>
      </c>
    </row>
    <row r="110" spans="1:3">
      <c r="A110" s="6">
        <v>108</v>
      </c>
      <c r="B110" s="102" t="s">
        <v>282</v>
      </c>
      <c r="C110" s="103" t="s">
        <v>1125</v>
      </c>
    </row>
    <row r="111" spans="1:3">
      <c r="A111" s="6">
        <v>109</v>
      </c>
      <c r="B111" s="102" t="s">
        <v>283</v>
      </c>
      <c r="C111" s="103" t="s">
        <v>284</v>
      </c>
    </row>
    <row r="112" spans="1:3">
      <c r="A112" s="6">
        <v>110</v>
      </c>
      <c r="B112" s="102" t="s">
        <v>285</v>
      </c>
      <c r="C112" s="103" t="s">
        <v>1126</v>
      </c>
    </row>
    <row r="113" spans="1:3">
      <c r="A113" s="6">
        <v>111</v>
      </c>
      <c r="B113" s="102" t="s">
        <v>286</v>
      </c>
      <c r="C113" s="103" t="s">
        <v>287</v>
      </c>
    </row>
    <row r="114" spans="1:3">
      <c r="A114" s="6">
        <v>112</v>
      </c>
      <c r="B114" s="102" t="s">
        <v>288</v>
      </c>
      <c r="C114" s="103" t="s">
        <v>289</v>
      </c>
    </row>
    <row r="115" spans="1:3">
      <c r="A115" s="6">
        <v>113</v>
      </c>
      <c r="B115" s="102" t="s">
        <v>290</v>
      </c>
      <c r="C115" s="103" t="s">
        <v>291</v>
      </c>
    </row>
    <row r="116" spans="1:3">
      <c r="A116" s="6">
        <v>114</v>
      </c>
      <c r="B116" s="102" t="s">
        <v>292</v>
      </c>
      <c r="C116" s="103" t="s">
        <v>1127</v>
      </c>
    </row>
    <row r="117" spans="1:3">
      <c r="A117" s="6">
        <v>115</v>
      </c>
      <c r="B117" s="102" t="s">
        <v>293</v>
      </c>
      <c r="C117" s="103" t="s">
        <v>1128</v>
      </c>
    </row>
    <row r="118" spans="1:3">
      <c r="A118" s="6">
        <v>116</v>
      </c>
      <c r="B118" s="102" t="s">
        <v>294</v>
      </c>
      <c r="C118" s="103" t="s">
        <v>295</v>
      </c>
    </row>
    <row r="119" spans="1:3">
      <c r="A119" s="6">
        <v>117</v>
      </c>
      <c r="B119" s="102" t="s">
        <v>296</v>
      </c>
      <c r="C119" s="103" t="s">
        <v>297</v>
      </c>
    </row>
    <row r="120" spans="1:3">
      <c r="A120" s="6">
        <v>118</v>
      </c>
      <c r="B120" s="102" t="s">
        <v>298</v>
      </c>
      <c r="C120" s="103" t="s">
        <v>299</v>
      </c>
    </row>
    <row r="121" spans="1:3">
      <c r="A121" s="6">
        <v>119</v>
      </c>
      <c r="B121" s="102" t="s">
        <v>300</v>
      </c>
      <c r="C121" s="103" t="s">
        <v>301</v>
      </c>
    </row>
    <row r="122" spans="1:3">
      <c r="A122" s="6">
        <v>120</v>
      </c>
      <c r="B122" s="102" t="s">
        <v>302</v>
      </c>
      <c r="C122" s="103" t="s">
        <v>1129</v>
      </c>
    </row>
    <row r="123" spans="1:3">
      <c r="A123" s="6">
        <v>121</v>
      </c>
      <c r="B123" s="102" t="s">
        <v>303</v>
      </c>
      <c r="C123" s="103" t="s">
        <v>1130</v>
      </c>
    </row>
    <row r="124" spans="1:3">
      <c r="A124" s="6">
        <v>122</v>
      </c>
      <c r="B124" s="102" t="s">
        <v>304</v>
      </c>
      <c r="C124" s="103" t="s">
        <v>1131</v>
      </c>
    </row>
    <row r="125" spans="1:3">
      <c r="A125" s="6">
        <v>123</v>
      </c>
      <c r="B125" s="102" t="s">
        <v>305</v>
      </c>
      <c r="C125" s="103" t="s">
        <v>1132</v>
      </c>
    </row>
    <row r="126" spans="1:3">
      <c r="A126" s="6">
        <v>124</v>
      </c>
      <c r="B126" s="102" t="s">
        <v>306</v>
      </c>
      <c r="C126" s="103" t="s">
        <v>307</v>
      </c>
    </row>
    <row r="127" spans="1:3">
      <c r="A127" s="6">
        <v>125</v>
      </c>
      <c r="B127" s="102" t="s">
        <v>308</v>
      </c>
      <c r="C127" s="103" t="s">
        <v>309</v>
      </c>
    </row>
    <row r="128" spans="1:3">
      <c r="A128" s="6">
        <v>126</v>
      </c>
      <c r="B128" s="102" t="s">
        <v>310</v>
      </c>
      <c r="C128" s="103" t="s">
        <v>311</v>
      </c>
    </row>
    <row r="129" spans="1:3">
      <c r="A129" s="6">
        <v>127</v>
      </c>
      <c r="B129" s="102" t="s">
        <v>312</v>
      </c>
      <c r="C129" s="103" t="s">
        <v>313</v>
      </c>
    </row>
    <row r="130" spans="1:3">
      <c r="A130" s="6">
        <v>128</v>
      </c>
      <c r="B130" s="102" t="s">
        <v>314</v>
      </c>
      <c r="C130" s="103" t="s">
        <v>315</v>
      </c>
    </row>
    <row r="131" spans="1:3">
      <c r="A131" s="6">
        <v>129</v>
      </c>
      <c r="B131" s="102" t="s">
        <v>316</v>
      </c>
      <c r="C131" s="103" t="s">
        <v>1133</v>
      </c>
    </row>
    <row r="132" spans="1:3">
      <c r="A132" s="6">
        <v>130</v>
      </c>
      <c r="B132" s="102" t="s">
        <v>317</v>
      </c>
      <c r="C132" s="103" t="s">
        <v>1134</v>
      </c>
    </row>
    <row r="133" spans="1:3">
      <c r="A133" s="6">
        <v>131</v>
      </c>
      <c r="B133" s="102" t="s">
        <v>318</v>
      </c>
      <c r="C133" s="103" t="s">
        <v>1135</v>
      </c>
    </row>
    <row r="134" spans="1:3">
      <c r="A134" s="6">
        <v>132</v>
      </c>
      <c r="B134" s="102" t="s">
        <v>319</v>
      </c>
      <c r="C134" s="103" t="s">
        <v>320</v>
      </c>
    </row>
    <row r="135" spans="1:3">
      <c r="A135" s="6">
        <v>133</v>
      </c>
      <c r="B135" s="102" t="s">
        <v>321</v>
      </c>
      <c r="C135" s="103" t="s">
        <v>322</v>
      </c>
    </row>
    <row r="136" spans="1:3">
      <c r="A136" s="6">
        <v>134</v>
      </c>
      <c r="B136" s="102" t="s">
        <v>323</v>
      </c>
      <c r="C136" s="103" t="s">
        <v>324</v>
      </c>
    </row>
    <row r="137" spans="1:3">
      <c r="A137" s="6">
        <v>135</v>
      </c>
      <c r="B137" s="102" t="s">
        <v>325</v>
      </c>
      <c r="C137" s="103" t="s">
        <v>1136</v>
      </c>
    </row>
    <row r="138" spans="1:3">
      <c r="A138" s="6">
        <v>136</v>
      </c>
      <c r="B138" s="102" t="s">
        <v>326</v>
      </c>
      <c r="C138" s="103" t="s">
        <v>327</v>
      </c>
    </row>
    <row r="139" spans="1:3">
      <c r="A139" s="6">
        <v>137</v>
      </c>
      <c r="B139" s="102" t="s">
        <v>328</v>
      </c>
      <c r="C139" s="103" t="s">
        <v>329</v>
      </c>
    </row>
    <row r="140" spans="1:3">
      <c r="A140" s="6">
        <v>138</v>
      </c>
      <c r="B140" s="102" t="s">
        <v>330</v>
      </c>
      <c r="C140" s="103" t="s">
        <v>1137</v>
      </c>
    </row>
    <row r="141" spans="1:3">
      <c r="A141" s="6">
        <v>139</v>
      </c>
      <c r="B141" s="102" t="s">
        <v>331</v>
      </c>
      <c r="C141" s="103" t="s">
        <v>332</v>
      </c>
    </row>
    <row r="142" spans="1:3">
      <c r="A142" s="6">
        <v>140</v>
      </c>
      <c r="B142" s="102" t="s">
        <v>333</v>
      </c>
      <c r="C142" s="103" t="s">
        <v>1138</v>
      </c>
    </row>
    <row r="143" spans="1:3">
      <c r="A143" s="6">
        <v>141</v>
      </c>
      <c r="B143" s="102" t="s">
        <v>334</v>
      </c>
      <c r="C143" s="103" t="s">
        <v>335</v>
      </c>
    </row>
    <row r="144" spans="1:3">
      <c r="A144" s="6">
        <v>142</v>
      </c>
      <c r="B144" s="102" t="s">
        <v>336</v>
      </c>
      <c r="C144" s="103" t="s">
        <v>1139</v>
      </c>
    </row>
    <row r="145" spans="1:3">
      <c r="A145" s="6">
        <v>143</v>
      </c>
      <c r="B145" s="102" t="s">
        <v>337</v>
      </c>
      <c r="C145" s="103" t="s">
        <v>338</v>
      </c>
    </row>
    <row r="146" spans="1:3">
      <c r="A146" s="6">
        <v>144</v>
      </c>
      <c r="B146" s="102" t="s">
        <v>339</v>
      </c>
      <c r="C146" s="103" t="s">
        <v>340</v>
      </c>
    </row>
    <row r="147" spans="1:3">
      <c r="A147" s="6">
        <v>145</v>
      </c>
      <c r="B147" s="102" t="s">
        <v>341</v>
      </c>
      <c r="C147" s="103" t="s">
        <v>342</v>
      </c>
    </row>
    <row r="148" spans="1:3">
      <c r="A148" s="6">
        <v>146</v>
      </c>
      <c r="B148" s="102" t="s">
        <v>343</v>
      </c>
      <c r="C148" s="103" t="s">
        <v>344</v>
      </c>
    </row>
    <row r="149" spans="1:3">
      <c r="A149" s="6">
        <v>147</v>
      </c>
      <c r="B149" s="102" t="s">
        <v>345</v>
      </c>
      <c r="C149" s="103" t="s">
        <v>346</v>
      </c>
    </row>
    <row r="150" spans="1:3">
      <c r="A150" s="6">
        <v>148</v>
      </c>
      <c r="B150" s="102" t="s">
        <v>347</v>
      </c>
      <c r="C150" s="103" t="s">
        <v>348</v>
      </c>
    </row>
    <row r="151" spans="1:3">
      <c r="A151" s="6">
        <v>149</v>
      </c>
      <c r="B151" s="102" t="s">
        <v>349</v>
      </c>
      <c r="C151" s="103" t="s">
        <v>1140</v>
      </c>
    </row>
    <row r="152" spans="1:3">
      <c r="A152" s="6">
        <v>150</v>
      </c>
      <c r="B152" s="102" t="s">
        <v>350</v>
      </c>
      <c r="C152" s="103" t="s">
        <v>351</v>
      </c>
    </row>
    <row r="153" spans="1:3">
      <c r="A153" s="6">
        <v>151</v>
      </c>
      <c r="B153" s="102" t="s">
        <v>352</v>
      </c>
      <c r="C153" s="103" t="s">
        <v>1141</v>
      </c>
    </row>
    <row r="154" spans="1:3">
      <c r="A154" s="6">
        <v>152</v>
      </c>
      <c r="B154" s="102" t="s">
        <v>353</v>
      </c>
      <c r="C154" s="103" t="s">
        <v>1142</v>
      </c>
    </row>
    <row r="155" spans="1:3">
      <c r="A155" s="6">
        <v>153</v>
      </c>
      <c r="B155" s="102" t="s">
        <v>354</v>
      </c>
      <c r="C155" s="103" t="s">
        <v>1143</v>
      </c>
    </row>
    <row r="156" spans="1:3">
      <c r="A156" s="6">
        <v>154</v>
      </c>
      <c r="B156" s="102" t="s">
        <v>355</v>
      </c>
      <c r="C156" s="103" t="s">
        <v>356</v>
      </c>
    </row>
    <row r="157" spans="1:3">
      <c r="A157" s="6">
        <v>155</v>
      </c>
      <c r="B157" s="102" t="s">
        <v>357</v>
      </c>
      <c r="C157" s="103" t="s">
        <v>358</v>
      </c>
    </row>
    <row r="158" spans="1:3">
      <c r="A158" s="6">
        <v>156</v>
      </c>
      <c r="B158" s="102" t="s">
        <v>359</v>
      </c>
      <c r="C158" s="103" t="s">
        <v>360</v>
      </c>
    </row>
    <row r="159" spans="1:3">
      <c r="A159" s="6">
        <v>157</v>
      </c>
      <c r="B159" s="102" t="s">
        <v>361</v>
      </c>
      <c r="C159" s="103" t="s">
        <v>362</v>
      </c>
    </row>
    <row r="160" spans="1:3">
      <c r="A160" s="6">
        <v>158</v>
      </c>
      <c r="B160" s="102" t="s">
        <v>363</v>
      </c>
      <c r="C160" s="103" t="s">
        <v>1144</v>
      </c>
    </row>
    <row r="161" spans="1:3">
      <c r="A161" s="6">
        <v>159</v>
      </c>
      <c r="B161" s="102" t="s">
        <v>364</v>
      </c>
      <c r="C161" s="103" t="s">
        <v>365</v>
      </c>
    </row>
    <row r="162" spans="1:3">
      <c r="A162" s="6">
        <v>160</v>
      </c>
      <c r="B162" s="102" t="s">
        <v>366</v>
      </c>
      <c r="C162" s="103" t="s">
        <v>1145</v>
      </c>
    </row>
    <row r="163" spans="1:3">
      <c r="A163" s="6">
        <v>161</v>
      </c>
      <c r="B163" s="102" t="s">
        <v>367</v>
      </c>
      <c r="C163" s="103" t="s">
        <v>1146</v>
      </c>
    </row>
    <row r="164" spans="1:3">
      <c r="A164" s="6">
        <v>162</v>
      </c>
      <c r="B164" s="102" t="s">
        <v>368</v>
      </c>
      <c r="C164" s="103" t="s">
        <v>1147</v>
      </c>
    </row>
    <row r="165" spans="1:3">
      <c r="A165" s="6">
        <v>163</v>
      </c>
      <c r="B165" s="102" t="s">
        <v>369</v>
      </c>
      <c r="C165" s="103" t="s">
        <v>1148</v>
      </c>
    </row>
    <row r="166" spans="1:3">
      <c r="A166" s="6">
        <v>164</v>
      </c>
      <c r="B166" s="102" t="s">
        <v>370</v>
      </c>
      <c r="C166" s="103" t="s">
        <v>371</v>
      </c>
    </row>
    <row r="167" spans="1:3">
      <c r="A167" s="6">
        <v>165</v>
      </c>
      <c r="B167" s="102" t="s">
        <v>372</v>
      </c>
      <c r="C167" s="103" t="s">
        <v>373</v>
      </c>
    </row>
    <row r="168" spans="1:3">
      <c r="A168" s="6">
        <v>166</v>
      </c>
      <c r="B168" s="102" t="s">
        <v>374</v>
      </c>
      <c r="C168" s="103" t="s">
        <v>375</v>
      </c>
    </row>
    <row r="169" spans="1:3">
      <c r="A169" s="6">
        <v>167</v>
      </c>
      <c r="B169" s="102" t="s">
        <v>376</v>
      </c>
      <c r="C169" s="103" t="s">
        <v>377</v>
      </c>
    </row>
    <row r="170" spans="1:3">
      <c r="A170" s="6">
        <v>168</v>
      </c>
      <c r="B170" s="102" t="s">
        <v>378</v>
      </c>
      <c r="C170" s="103" t="s">
        <v>379</v>
      </c>
    </row>
    <row r="171" spans="1:3">
      <c r="A171" s="6">
        <v>169</v>
      </c>
      <c r="B171" s="102" t="s">
        <v>380</v>
      </c>
      <c r="C171" s="103" t="s">
        <v>381</v>
      </c>
    </row>
    <row r="172" spans="1:3">
      <c r="A172" s="6">
        <v>170</v>
      </c>
      <c r="B172" s="102" t="s">
        <v>382</v>
      </c>
      <c r="C172" s="103" t="s">
        <v>1149</v>
      </c>
    </row>
    <row r="173" spans="1:3">
      <c r="A173" s="6">
        <v>171</v>
      </c>
      <c r="B173" s="102" t="s">
        <v>383</v>
      </c>
      <c r="C173" s="103" t="s">
        <v>1150</v>
      </c>
    </row>
    <row r="174" spans="1:3">
      <c r="A174" s="6">
        <v>172</v>
      </c>
      <c r="B174" s="102" t="s">
        <v>384</v>
      </c>
      <c r="C174" s="103" t="s">
        <v>1151</v>
      </c>
    </row>
    <row r="175" spans="1:3">
      <c r="A175" s="6">
        <v>173</v>
      </c>
      <c r="B175" s="102" t="s">
        <v>385</v>
      </c>
      <c r="C175" s="103" t="s">
        <v>386</v>
      </c>
    </row>
    <row r="176" spans="1:3">
      <c r="A176" s="6">
        <v>174</v>
      </c>
      <c r="B176" s="102" t="s">
        <v>387</v>
      </c>
      <c r="C176" s="103" t="s">
        <v>1152</v>
      </c>
    </row>
    <row r="177" spans="1:3">
      <c r="A177" s="6">
        <v>175</v>
      </c>
      <c r="B177" s="102" t="s">
        <v>388</v>
      </c>
      <c r="C177" s="103" t="s">
        <v>1153</v>
      </c>
    </row>
    <row r="178" spans="1:3">
      <c r="A178" s="6">
        <v>176</v>
      </c>
      <c r="B178" s="102" t="s">
        <v>389</v>
      </c>
      <c r="C178" s="103" t="s">
        <v>390</v>
      </c>
    </row>
    <row r="179" spans="1:3">
      <c r="A179" s="6">
        <v>177</v>
      </c>
      <c r="B179" s="102" t="s">
        <v>391</v>
      </c>
      <c r="C179" s="103" t="s">
        <v>392</v>
      </c>
    </row>
    <row r="180" spans="1:3">
      <c r="A180" s="6">
        <v>178</v>
      </c>
      <c r="B180" s="102" t="s">
        <v>393</v>
      </c>
      <c r="C180" s="103" t="s">
        <v>394</v>
      </c>
    </row>
    <row r="181" spans="1:3">
      <c r="A181" s="6">
        <v>179</v>
      </c>
      <c r="B181" s="102" t="s">
        <v>395</v>
      </c>
      <c r="C181" s="103" t="s">
        <v>396</v>
      </c>
    </row>
    <row r="182" spans="1:3">
      <c r="A182" s="6">
        <v>180</v>
      </c>
      <c r="B182" s="102" t="s">
        <v>397</v>
      </c>
      <c r="C182" s="103" t="s">
        <v>398</v>
      </c>
    </row>
    <row r="183" spans="1:3">
      <c r="A183" s="6">
        <v>181</v>
      </c>
      <c r="B183" s="102" t="s">
        <v>399</v>
      </c>
      <c r="C183" s="103" t="s">
        <v>400</v>
      </c>
    </row>
    <row r="184" spans="1:3">
      <c r="A184" s="6">
        <v>182</v>
      </c>
      <c r="B184" s="102" t="s">
        <v>401</v>
      </c>
      <c r="C184" s="103" t="s">
        <v>402</v>
      </c>
    </row>
    <row r="185" spans="1:3">
      <c r="A185" s="6">
        <v>183</v>
      </c>
      <c r="B185" s="102" t="s">
        <v>403</v>
      </c>
      <c r="C185" s="103" t="s">
        <v>404</v>
      </c>
    </row>
    <row r="186" spans="1:3">
      <c r="A186" s="6">
        <v>184</v>
      </c>
      <c r="B186" s="102" t="s">
        <v>405</v>
      </c>
      <c r="C186" s="103" t="s">
        <v>406</v>
      </c>
    </row>
    <row r="187" spans="1:3">
      <c r="A187" s="6">
        <v>185</v>
      </c>
      <c r="B187" s="102" t="s">
        <v>407</v>
      </c>
      <c r="C187" s="103" t="s">
        <v>408</v>
      </c>
    </row>
    <row r="188" spans="1:3">
      <c r="A188" s="6">
        <v>186</v>
      </c>
      <c r="B188" s="102" t="s">
        <v>409</v>
      </c>
      <c r="C188" s="103" t="s">
        <v>410</v>
      </c>
    </row>
    <row r="189" spans="1:3">
      <c r="A189" s="6">
        <v>187</v>
      </c>
      <c r="B189" s="102" t="s">
        <v>411</v>
      </c>
      <c r="C189" s="103" t="s">
        <v>412</v>
      </c>
    </row>
    <row r="190" spans="1:3">
      <c r="A190" s="6">
        <v>188</v>
      </c>
      <c r="B190" s="102" t="s">
        <v>413</v>
      </c>
      <c r="C190" s="103" t="s">
        <v>1154</v>
      </c>
    </row>
    <row r="191" spans="1:3">
      <c r="A191" s="6">
        <v>189</v>
      </c>
      <c r="B191" s="102" t="s">
        <v>414</v>
      </c>
      <c r="C191" s="103" t="s">
        <v>1155</v>
      </c>
    </row>
    <row r="192" spans="1:3">
      <c r="A192" s="6">
        <v>190</v>
      </c>
      <c r="B192" s="102" t="s">
        <v>415</v>
      </c>
      <c r="C192" s="103" t="s">
        <v>416</v>
      </c>
    </row>
    <row r="193" spans="1:3">
      <c r="A193" s="6">
        <v>191</v>
      </c>
      <c r="B193" s="102" t="s">
        <v>417</v>
      </c>
      <c r="C193" s="103" t="s">
        <v>1156</v>
      </c>
    </row>
    <row r="194" spans="1:3">
      <c r="A194" s="6">
        <v>192</v>
      </c>
      <c r="B194" s="102" t="s">
        <v>418</v>
      </c>
      <c r="C194" s="103" t="s">
        <v>419</v>
      </c>
    </row>
    <row r="195" spans="1:3">
      <c r="A195" s="6">
        <v>193</v>
      </c>
      <c r="B195" s="102" t="s">
        <v>420</v>
      </c>
      <c r="C195" s="103" t="s">
        <v>1157</v>
      </c>
    </row>
    <row r="196" spans="1:3">
      <c r="A196" s="6">
        <v>194</v>
      </c>
      <c r="B196" s="102" t="s">
        <v>421</v>
      </c>
      <c r="C196" s="103" t="s">
        <v>422</v>
      </c>
    </row>
    <row r="197" spans="1:3">
      <c r="A197" s="6">
        <v>195</v>
      </c>
      <c r="B197" s="102" t="s">
        <v>423</v>
      </c>
      <c r="C197" s="103" t="s">
        <v>1158</v>
      </c>
    </row>
    <row r="198" spans="1:3">
      <c r="A198" s="6">
        <v>196</v>
      </c>
      <c r="B198" s="102" t="s">
        <v>424</v>
      </c>
      <c r="C198" s="103" t="s">
        <v>425</v>
      </c>
    </row>
    <row r="199" spans="1:3">
      <c r="A199" s="6">
        <v>197</v>
      </c>
      <c r="B199" s="102" t="s">
        <v>426</v>
      </c>
      <c r="C199" s="103" t="s">
        <v>427</v>
      </c>
    </row>
    <row r="200" spans="1:3">
      <c r="A200" s="6">
        <v>198</v>
      </c>
      <c r="B200" s="102" t="s">
        <v>428</v>
      </c>
      <c r="C200" s="103" t="s">
        <v>429</v>
      </c>
    </row>
    <row r="201" spans="1:3">
      <c r="A201" s="6">
        <v>199</v>
      </c>
      <c r="B201" s="102" t="s">
        <v>430</v>
      </c>
      <c r="C201" s="103" t="s">
        <v>431</v>
      </c>
    </row>
    <row r="202" spans="1:3">
      <c r="A202" s="6">
        <v>200</v>
      </c>
      <c r="B202" s="102" t="s">
        <v>432</v>
      </c>
      <c r="C202" s="103" t="s">
        <v>433</v>
      </c>
    </row>
    <row r="203" spans="1:3">
      <c r="A203" s="6">
        <v>201</v>
      </c>
      <c r="B203" s="102" t="s">
        <v>434</v>
      </c>
      <c r="C203" s="103" t="s">
        <v>435</v>
      </c>
    </row>
    <row r="204" spans="1:3">
      <c r="A204" s="6">
        <v>202</v>
      </c>
      <c r="B204" s="102" t="s">
        <v>436</v>
      </c>
      <c r="C204" s="103" t="s">
        <v>437</v>
      </c>
    </row>
    <row r="205" spans="1:3">
      <c r="A205" s="6">
        <v>203</v>
      </c>
      <c r="B205" s="102" t="s">
        <v>438</v>
      </c>
      <c r="C205" s="103" t="s">
        <v>439</v>
      </c>
    </row>
    <row r="206" spans="1:3">
      <c r="A206" s="6">
        <v>204</v>
      </c>
      <c r="B206" s="102" t="s">
        <v>440</v>
      </c>
      <c r="C206" s="103" t="s">
        <v>441</v>
      </c>
    </row>
    <row r="207" spans="1:3">
      <c r="A207" s="6">
        <v>205</v>
      </c>
      <c r="B207" s="102" t="s">
        <v>442</v>
      </c>
      <c r="C207" s="103" t="s">
        <v>1159</v>
      </c>
    </row>
    <row r="208" spans="1:3">
      <c r="A208" s="6">
        <v>206</v>
      </c>
      <c r="B208" s="102" t="s">
        <v>443</v>
      </c>
      <c r="C208" s="103" t="s">
        <v>444</v>
      </c>
    </row>
    <row r="209" spans="1:3">
      <c r="A209" s="6">
        <v>207</v>
      </c>
      <c r="B209" s="102" t="s">
        <v>445</v>
      </c>
      <c r="C209" s="103" t="s">
        <v>446</v>
      </c>
    </row>
    <row r="210" spans="1:3">
      <c r="A210" s="6">
        <v>208</v>
      </c>
      <c r="B210" s="102" t="s">
        <v>447</v>
      </c>
      <c r="C210" s="103" t="s">
        <v>1160</v>
      </c>
    </row>
    <row r="211" spans="1:3">
      <c r="A211" s="6">
        <v>209</v>
      </c>
      <c r="B211" s="102" t="s">
        <v>448</v>
      </c>
      <c r="C211" s="103" t="s">
        <v>1161</v>
      </c>
    </row>
    <row r="212" spans="1:3">
      <c r="A212" s="6">
        <v>210</v>
      </c>
      <c r="B212" s="102" t="s">
        <v>449</v>
      </c>
      <c r="C212" s="103" t="s">
        <v>450</v>
      </c>
    </row>
    <row r="213" spans="1:3">
      <c r="A213" s="6">
        <v>211</v>
      </c>
      <c r="B213" s="102" t="s">
        <v>451</v>
      </c>
      <c r="C213" s="103" t="s">
        <v>1162</v>
      </c>
    </row>
    <row r="214" spans="1:3">
      <c r="A214" s="6">
        <v>212</v>
      </c>
      <c r="B214" s="102" t="s">
        <v>452</v>
      </c>
      <c r="C214" s="103" t="s">
        <v>1163</v>
      </c>
    </row>
    <row r="215" spans="1:3">
      <c r="A215" s="6">
        <v>213</v>
      </c>
      <c r="B215" s="102" t="s">
        <v>453</v>
      </c>
      <c r="C215" s="103" t="s">
        <v>454</v>
      </c>
    </row>
    <row r="216" spans="1:3">
      <c r="A216" s="6">
        <v>214</v>
      </c>
      <c r="B216" s="102" t="s">
        <v>455</v>
      </c>
      <c r="C216" s="103" t="s">
        <v>1164</v>
      </c>
    </row>
    <row r="217" spans="1:3">
      <c r="A217" s="6">
        <v>215</v>
      </c>
      <c r="B217" s="102" t="s">
        <v>456</v>
      </c>
      <c r="C217" s="103" t="s">
        <v>1165</v>
      </c>
    </row>
    <row r="218" spans="1:3">
      <c r="A218" s="6">
        <v>216</v>
      </c>
      <c r="B218" s="102" t="s">
        <v>457</v>
      </c>
      <c r="C218" s="103" t="s">
        <v>458</v>
      </c>
    </row>
    <row r="219" spans="1:3">
      <c r="A219" s="6">
        <v>217</v>
      </c>
      <c r="B219" s="102" t="s">
        <v>459</v>
      </c>
      <c r="C219" s="103" t="s">
        <v>460</v>
      </c>
    </row>
    <row r="220" spans="1:3">
      <c r="A220" s="6">
        <v>218</v>
      </c>
      <c r="B220" s="102" t="s">
        <v>461</v>
      </c>
      <c r="C220" s="103" t="s">
        <v>1166</v>
      </c>
    </row>
    <row r="221" spans="1:3">
      <c r="A221" s="6">
        <v>219</v>
      </c>
      <c r="B221" s="102" t="s">
        <v>462</v>
      </c>
      <c r="C221" s="103" t="s">
        <v>1167</v>
      </c>
    </row>
    <row r="222" spans="1:3">
      <c r="A222" s="6">
        <v>220</v>
      </c>
      <c r="B222" s="102" t="s">
        <v>463</v>
      </c>
      <c r="C222" s="103" t="s">
        <v>464</v>
      </c>
    </row>
    <row r="223" spans="1:3">
      <c r="A223" s="6">
        <v>221</v>
      </c>
      <c r="B223" s="102" t="s">
        <v>465</v>
      </c>
      <c r="C223" s="103" t="s">
        <v>1168</v>
      </c>
    </row>
    <row r="224" spans="1:3">
      <c r="A224" s="6">
        <v>222</v>
      </c>
      <c r="B224" s="102" t="s">
        <v>466</v>
      </c>
      <c r="C224" s="103" t="s">
        <v>467</v>
      </c>
    </row>
    <row r="225" spans="1:3">
      <c r="A225" s="6">
        <v>223</v>
      </c>
      <c r="B225" s="102" t="s">
        <v>466</v>
      </c>
      <c r="C225" s="103" t="s">
        <v>467</v>
      </c>
    </row>
    <row r="226" spans="1:3">
      <c r="A226" s="6">
        <v>224</v>
      </c>
      <c r="B226" s="102" t="s">
        <v>468</v>
      </c>
      <c r="C226" s="103" t="s">
        <v>469</v>
      </c>
    </row>
    <row r="227" spans="1:3">
      <c r="A227" s="6">
        <v>225</v>
      </c>
      <c r="B227" s="102" t="s">
        <v>470</v>
      </c>
      <c r="C227" s="103" t="s">
        <v>1169</v>
      </c>
    </row>
    <row r="228" spans="1:3">
      <c r="A228" s="6">
        <v>226</v>
      </c>
      <c r="B228" s="102" t="s">
        <v>471</v>
      </c>
      <c r="C228" s="103" t="s">
        <v>1170</v>
      </c>
    </row>
    <row r="229" spans="1:3">
      <c r="A229" s="6">
        <v>227</v>
      </c>
      <c r="B229" s="102" t="s">
        <v>472</v>
      </c>
      <c r="C229" s="103" t="s">
        <v>1171</v>
      </c>
    </row>
    <row r="230" spans="1:3">
      <c r="A230" s="6">
        <v>228</v>
      </c>
      <c r="B230" s="102" t="s">
        <v>473</v>
      </c>
      <c r="C230" s="103" t="s">
        <v>474</v>
      </c>
    </row>
    <row r="231" spans="1:3">
      <c r="A231" s="6">
        <v>229</v>
      </c>
      <c r="B231" s="102" t="s">
        <v>475</v>
      </c>
      <c r="C231" s="103" t="s">
        <v>1172</v>
      </c>
    </row>
    <row r="232" spans="1:3">
      <c r="A232" s="6">
        <v>230</v>
      </c>
      <c r="B232" s="102" t="s">
        <v>476</v>
      </c>
      <c r="C232" s="103" t="s">
        <v>1173</v>
      </c>
    </row>
    <row r="233" spans="1:3">
      <c r="A233" s="6">
        <v>231</v>
      </c>
      <c r="B233" s="102" t="s">
        <v>477</v>
      </c>
      <c r="C233" s="103" t="s">
        <v>1174</v>
      </c>
    </row>
    <row r="234" spans="1:3">
      <c r="A234" s="6">
        <v>232</v>
      </c>
      <c r="B234" s="102" t="s">
        <v>478</v>
      </c>
      <c r="C234" s="103" t="s">
        <v>1175</v>
      </c>
    </row>
    <row r="235" spans="1:3">
      <c r="A235" s="6">
        <v>233</v>
      </c>
      <c r="B235" s="102" t="s">
        <v>479</v>
      </c>
      <c r="C235" s="103" t="s">
        <v>480</v>
      </c>
    </row>
    <row r="236" spans="1:3">
      <c r="A236" s="6">
        <v>234</v>
      </c>
      <c r="B236" s="102" t="s">
        <v>481</v>
      </c>
      <c r="C236" s="103" t="s">
        <v>1176</v>
      </c>
    </row>
    <row r="237" spans="1:3">
      <c r="A237" s="6">
        <v>235</v>
      </c>
      <c r="B237" s="102" t="s">
        <v>482</v>
      </c>
      <c r="C237" s="103" t="s">
        <v>483</v>
      </c>
    </row>
    <row r="238" spans="1:3">
      <c r="A238" s="6">
        <v>236</v>
      </c>
      <c r="B238" s="102" t="s">
        <v>484</v>
      </c>
      <c r="C238" s="103" t="s">
        <v>485</v>
      </c>
    </row>
    <row r="239" spans="1:3">
      <c r="A239" s="6">
        <v>237</v>
      </c>
      <c r="B239" s="102" t="s">
        <v>486</v>
      </c>
      <c r="C239" s="103" t="s">
        <v>487</v>
      </c>
    </row>
    <row r="240" spans="1:3">
      <c r="A240" s="6">
        <v>238</v>
      </c>
      <c r="B240" s="102" t="s">
        <v>488</v>
      </c>
      <c r="C240" s="103" t="s">
        <v>1177</v>
      </c>
    </row>
    <row r="241" spans="1:3">
      <c r="A241" s="6">
        <v>239</v>
      </c>
      <c r="B241" s="102" t="s">
        <v>489</v>
      </c>
      <c r="C241" s="103" t="s">
        <v>1178</v>
      </c>
    </row>
    <row r="242" spans="1:3">
      <c r="A242" s="6">
        <v>240</v>
      </c>
      <c r="B242" s="102" t="s">
        <v>490</v>
      </c>
      <c r="C242" s="103" t="s">
        <v>491</v>
      </c>
    </row>
    <row r="243" spans="1:3">
      <c r="A243" s="6">
        <v>241</v>
      </c>
      <c r="B243" s="102" t="s">
        <v>492</v>
      </c>
      <c r="C243" s="103" t="s">
        <v>1179</v>
      </c>
    </row>
    <row r="244" spans="1:3">
      <c r="A244" s="6">
        <v>242</v>
      </c>
      <c r="B244" s="102" t="s">
        <v>493</v>
      </c>
      <c r="C244" s="103" t="s">
        <v>494</v>
      </c>
    </row>
    <row r="245" spans="1:3">
      <c r="A245" s="6">
        <v>243</v>
      </c>
      <c r="B245" s="102" t="s">
        <v>495</v>
      </c>
      <c r="C245" s="103" t="s">
        <v>1180</v>
      </c>
    </row>
    <row r="246" spans="1:3">
      <c r="A246" s="6">
        <v>244</v>
      </c>
      <c r="B246" s="102" t="s">
        <v>496</v>
      </c>
      <c r="C246" s="103" t="s">
        <v>1181</v>
      </c>
    </row>
    <row r="247" spans="1:3">
      <c r="A247" s="6">
        <v>245</v>
      </c>
      <c r="B247" s="102" t="s">
        <v>497</v>
      </c>
      <c r="C247" s="103" t="s">
        <v>1182</v>
      </c>
    </row>
    <row r="248" spans="1:3">
      <c r="A248" s="6">
        <v>246</v>
      </c>
      <c r="B248" s="102" t="s">
        <v>498</v>
      </c>
      <c r="C248" s="103" t="s">
        <v>1183</v>
      </c>
    </row>
    <row r="249" spans="1:3">
      <c r="A249" s="6">
        <v>247</v>
      </c>
      <c r="B249" s="102" t="s">
        <v>499</v>
      </c>
      <c r="C249" s="103" t="s">
        <v>1184</v>
      </c>
    </row>
    <row r="250" spans="1:3">
      <c r="A250" s="6">
        <v>248</v>
      </c>
      <c r="B250" s="102" t="s">
        <v>500</v>
      </c>
      <c r="C250" s="103" t="s">
        <v>501</v>
      </c>
    </row>
    <row r="251" spans="1:3">
      <c r="A251" s="6">
        <v>249</v>
      </c>
      <c r="B251" s="102" t="s">
        <v>502</v>
      </c>
      <c r="C251" s="103" t="s">
        <v>503</v>
      </c>
    </row>
    <row r="252" spans="1:3">
      <c r="A252" s="6">
        <v>250</v>
      </c>
      <c r="B252" s="102" t="s">
        <v>504</v>
      </c>
      <c r="C252" s="103" t="s">
        <v>505</v>
      </c>
    </row>
    <row r="253" spans="1:3">
      <c r="A253" s="6">
        <v>251</v>
      </c>
      <c r="B253" s="102" t="s">
        <v>506</v>
      </c>
      <c r="C253" s="103" t="s">
        <v>507</v>
      </c>
    </row>
    <row r="254" spans="1:3">
      <c r="A254" s="6">
        <v>252</v>
      </c>
      <c r="B254" s="102" t="s">
        <v>508</v>
      </c>
      <c r="C254" s="103" t="s">
        <v>509</v>
      </c>
    </row>
    <row r="255" spans="1:3">
      <c r="A255" s="6">
        <v>253</v>
      </c>
      <c r="B255" s="102" t="s">
        <v>510</v>
      </c>
      <c r="C255" s="103" t="s">
        <v>511</v>
      </c>
    </row>
    <row r="256" spans="1:3">
      <c r="A256" s="6">
        <v>254</v>
      </c>
      <c r="B256" s="102" t="s">
        <v>512</v>
      </c>
      <c r="C256" s="103" t="s">
        <v>513</v>
      </c>
    </row>
    <row r="257" spans="1:3">
      <c r="A257" s="6">
        <v>255</v>
      </c>
      <c r="B257" s="102" t="s">
        <v>514</v>
      </c>
      <c r="C257" s="103" t="s">
        <v>515</v>
      </c>
    </row>
    <row r="258" spans="1:3">
      <c r="A258" s="6">
        <v>256</v>
      </c>
      <c r="B258" s="102" t="s">
        <v>516</v>
      </c>
      <c r="C258" s="103" t="s">
        <v>517</v>
      </c>
    </row>
    <row r="259" spans="1:3">
      <c r="A259" s="6">
        <v>257</v>
      </c>
      <c r="B259" s="102" t="s">
        <v>518</v>
      </c>
      <c r="C259" s="103" t="s">
        <v>519</v>
      </c>
    </row>
    <row r="260" spans="1:3">
      <c r="A260" s="6">
        <v>258</v>
      </c>
      <c r="B260" s="102" t="s">
        <v>520</v>
      </c>
      <c r="C260" s="103" t="s">
        <v>521</v>
      </c>
    </row>
    <row r="261" spans="1:3">
      <c r="A261" s="6">
        <v>259</v>
      </c>
      <c r="B261" s="102" t="s">
        <v>522</v>
      </c>
      <c r="C261" s="103" t="s">
        <v>523</v>
      </c>
    </row>
    <row r="262" spans="1:3">
      <c r="A262" s="6">
        <v>260</v>
      </c>
      <c r="B262" s="102" t="s">
        <v>524</v>
      </c>
      <c r="C262" s="103" t="s">
        <v>525</v>
      </c>
    </row>
    <row r="263" spans="1:3">
      <c r="A263" s="6">
        <v>261</v>
      </c>
      <c r="B263" s="102" t="s">
        <v>526</v>
      </c>
      <c r="C263" s="103" t="s">
        <v>527</v>
      </c>
    </row>
    <row r="264" spans="1:3">
      <c r="A264" s="6">
        <v>262</v>
      </c>
      <c r="B264" s="102" t="s">
        <v>528</v>
      </c>
      <c r="C264" s="103" t="s">
        <v>529</v>
      </c>
    </row>
    <row r="265" spans="1:3">
      <c r="A265" s="6">
        <v>263</v>
      </c>
      <c r="B265" s="102" t="s">
        <v>530</v>
      </c>
      <c r="C265" s="103" t="s">
        <v>1185</v>
      </c>
    </row>
    <row r="266" spans="1:3">
      <c r="A266" s="6">
        <v>264</v>
      </c>
      <c r="B266" s="102" t="s">
        <v>531</v>
      </c>
      <c r="C266" s="103" t="s">
        <v>532</v>
      </c>
    </row>
    <row r="267" spans="1:3">
      <c r="A267" s="6">
        <v>265</v>
      </c>
      <c r="B267" s="102" t="s">
        <v>533</v>
      </c>
      <c r="C267" s="103" t="s">
        <v>534</v>
      </c>
    </row>
    <row r="268" spans="1:3">
      <c r="A268" s="6">
        <v>266</v>
      </c>
      <c r="B268" s="102" t="s">
        <v>535</v>
      </c>
      <c r="C268" s="103" t="s">
        <v>1186</v>
      </c>
    </row>
    <row r="269" spans="1:3">
      <c r="A269" s="6">
        <v>267</v>
      </c>
      <c r="B269" s="102" t="s">
        <v>536</v>
      </c>
      <c r="C269" s="103" t="s">
        <v>1187</v>
      </c>
    </row>
    <row r="270" spans="1:3">
      <c r="A270" s="6">
        <v>268</v>
      </c>
      <c r="B270" s="102" t="s">
        <v>537</v>
      </c>
      <c r="C270" s="103" t="s">
        <v>538</v>
      </c>
    </row>
    <row r="271" spans="1:3">
      <c r="A271" s="6">
        <v>269</v>
      </c>
      <c r="B271" s="102" t="s">
        <v>539</v>
      </c>
      <c r="C271" s="103" t="s">
        <v>540</v>
      </c>
    </row>
    <row r="272" spans="1:3">
      <c r="A272" s="6">
        <v>270</v>
      </c>
      <c r="B272" s="102" t="s">
        <v>541</v>
      </c>
      <c r="C272" s="103" t="s">
        <v>542</v>
      </c>
    </row>
    <row r="273" spans="1:3">
      <c r="A273" s="6">
        <v>271</v>
      </c>
      <c r="B273" s="102" t="s">
        <v>543</v>
      </c>
      <c r="C273" s="103" t="s">
        <v>544</v>
      </c>
    </row>
    <row r="274" spans="1:3">
      <c r="A274" s="6">
        <v>272</v>
      </c>
      <c r="B274" s="102" t="s">
        <v>545</v>
      </c>
      <c r="C274" s="103" t="s">
        <v>546</v>
      </c>
    </row>
    <row r="275" spans="1:3">
      <c r="A275" s="6">
        <v>273</v>
      </c>
      <c r="B275" s="102" t="s">
        <v>547</v>
      </c>
      <c r="C275" s="103" t="s">
        <v>548</v>
      </c>
    </row>
    <row r="276" spans="1:3">
      <c r="A276" s="6">
        <v>274</v>
      </c>
      <c r="B276" s="102" t="s">
        <v>549</v>
      </c>
      <c r="C276" s="103" t="s">
        <v>550</v>
      </c>
    </row>
    <row r="277" spans="1:3">
      <c r="A277" s="6">
        <v>275</v>
      </c>
      <c r="B277" s="102" t="s">
        <v>551</v>
      </c>
      <c r="C277" s="103" t="s">
        <v>552</v>
      </c>
    </row>
    <row r="278" spans="1:3">
      <c r="A278" s="6">
        <v>276</v>
      </c>
      <c r="B278" s="102" t="s">
        <v>553</v>
      </c>
      <c r="C278" s="103" t="s">
        <v>554</v>
      </c>
    </row>
    <row r="279" spans="1:3">
      <c r="A279" s="6">
        <v>277</v>
      </c>
      <c r="B279" s="102" t="s">
        <v>555</v>
      </c>
      <c r="C279" s="103" t="s">
        <v>1188</v>
      </c>
    </row>
    <row r="280" spans="1:3">
      <c r="A280" s="6">
        <v>278</v>
      </c>
      <c r="B280" s="102" t="s">
        <v>556</v>
      </c>
      <c r="C280" s="103" t="s">
        <v>557</v>
      </c>
    </row>
    <row r="281" spans="1:3">
      <c r="A281" s="6">
        <v>279</v>
      </c>
      <c r="B281" s="102" t="s">
        <v>558</v>
      </c>
      <c r="C281" s="103" t="s">
        <v>1189</v>
      </c>
    </row>
    <row r="282" spans="1:3">
      <c r="A282" s="6">
        <v>280</v>
      </c>
      <c r="B282" s="102" t="s">
        <v>559</v>
      </c>
      <c r="C282" s="103" t="s">
        <v>1190</v>
      </c>
    </row>
    <row r="283" spans="1:3">
      <c r="A283" s="6">
        <v>281</v>
      </c>
      <c r="B283" s="102" t="s">
        <v>967</v>
      </c>
      <c r="C283" s="103" t="s">
        <v>968</v>
      </c>
    </row>
    <row r="284" spans="1:3">
      <c r="A284" s="6">
        <v>282</v>
      </c>
      <c r="B284" s="102" t="s">
        <v>560</v>
      </c>
      <c r="C284" s="103" t="s">
        <v>561</v>
      </c>
    </row>
    <row r="285" spans="1:3">
      <c r="A285" s="6">
        <v>283</v>
      </c>
      <c r="B285" s="102" t="s">
        <v>562</v>
      </c>
      <c r="C285" s="103" t="s">
        <v>1191</v>
      </c>
    </row>
    <row r="286" spans="1:3">
      <c r="A286" s="6">
        <v>284</v>
      </c>
      <c r="B286" s="102" t="s">
        <v>563</v>
      </c>
      <c r="C286" s="103" t="s">
        <v>564</v>
      </c>
    </row>
    <row r="287" spans="1:3">
      <c r="A287" s="6">
        <v>285</v>
      </c>
      <c r="B287" s="102" t="s">
        <v>565</v>
      </c>
      <c r="C287" s="103" t="s">
        <v>1192</v>
      </c>
    </row>
    <row r="288" spans="1:3">
      <c r="A288" s="6">
        <v>286</v>
      </c>
      <c r="B288" s="102" t="s">
        <v>566</v>
      </c>
      <c r="C288" s="103" t="s">
        <v>567</v>
      </c>
    </row>
    <row r="289" spans="1:3">
      <c r="A289" s="6">
        <v>287</v>
      </c>
      <c r="B289" s="102" t="s">
        <v>568</v>
      </c>
      <c r="C289" s="103" t="s">
        <v>569</v>
      </c>
    </row>
    <row r="290" spans="1:3">
      <c r="A290" s="6">
        <v>288</v>
      </c>
      <c r="B290" s="102" t="s">
        <v>570</v>
      </c>
      <c r="C290" s="103" t="s">
        <v>1193</v>
      </c>
    </row>
    <row r="291" spans="1:3">
      <c r="A291" s="6">
        <v>289</v>
      </c>
      <c r="B291" s="102" t="s">
        <v>571</v>
      </c>
      <c r="C291" s="103" t="s">
        <v>1194</v>
      </c>
    </row>
    <row r="292" spans="1:3">
      <c r="A292" s="6">
        <v>290</v>
      </c>
      <c r="B292" s="102" t="s">
        <v>572</v>
      </c>
      <c r="C292" s="103" t="s">
        <v>573</v>
      </c>
    </row>
    <row r="293" spans="1:3">
      <c r="A293" s="6">
        <v>291</v>
      </c>
      <c r="B293" s="102" t="s">
        <v>574</v>
      </c>
      <c r="C293" s="103" t="s">
        <v>1195</v>
      </c>
    </row>
    <row r="294" spans="1:3">
      <c r="A294" s="6">
        <v>292</v>
      </c>
      <c r="B294" s="102" t="s">
        <v>575</v>
      </c>
      <c r="C294" s="103" t="s">
        <v>576</v>
      </c>
    </row>
    <row r="295" spans="1:3">
      <c r="A295" s="6">
        <v>293</v>
      </c>
      <c r="B295" s="102" t="s">
        <v>577</v>
      </c>
      <c r="C295" s="103" t="s">
        <v>578</v>
      </c>
    </row>
    <row r="296" spans="1:3">
      <c r="A296" s="6">
        <v>294</v>
      </c>
      <c r="B296" s="102" t="s">
        <v>579</v>
      </c>
      <c r="C296" s="103" t="s">
        <v>580</v>
      </c>
    </row>
    <row r="297" spans="1:3">
      <c r="A297" s="6">
        <v>295</v>
      </c>
      <c r="B297" s="102" t="s">
        <v>581</v>
      </c>
      <c r="C297" s="103" t="s">
        <v>582</v>
      </c>
    </row>
    <row r="298" spans="1:3">
      <c r="A298" s="6">
        <v>296</v>
      </c>
      <c r="B298" s="102" t="s">
        <v>583</v>
      </c>
      <c r="C298" s="103" t="s">
        <v>584</v>
      </c>
    </row>
    <row r="299" spans="1:3">
      <c r="A299" s="6">
        <v>297</v>
      </c>
      <c r="B299" s="102" t="s">
        <v>585</v>
      </c>
      <c r="C299" s="103" t="s">
        <v>586</v>
      </c>
    </row>
    <row r="300" spans="1:3">
      <c r="A300" s="6">
        <v>298</v>
      </c>
      <c r="B300" s="102" t="s">
        <v>587</v>
      </c>
      <c r="C300" s="103" t="s">
        <v>588</v>
      </c>
    </row>
    <row r="301" spans="1:3">
      <c r="A301" s="6">
        <v>299</v>
      </c>
      <c r="B301" s="102" t="s">
        <v>589</v>
      </c>
      <c r="C301" s="103" t="s">
        <v>1196</v>
      </c>
    </row>
    <row r="302" spans="1:3">
      <c r="A302" s="6">
        <v>300</v>
      </c>
      <c r="B302" s="102" t="s">
        <v>590</v>
      </c>
      <c r="C302" s="103" t="s">
        <v>591</v>
      </c>
    </row>
    <row r="303" spans="1:3">
      <c r="A303" s="6">
        <v>301</v>
      </c>
      <c r="B303" s="102" t="s">
        <v>592</v>
      </c>
      <c r="C303" s="103" t="s">
        <v>593</v>
      </c>
    </row>
    <row r="304" spans="1:3">
      <c r="A304" s="6">
        <v>302</v>
      </c>
      <c r="B304" s="102" t="s">
        <v>594</v>
      </c>
      <c r="C304" s="103" t="s">
        <v>595</v>
      </c>
    </row>
    <row r="305" spans="1:3">
      <c r="A305" s="6">
        <v>303</v>
      </c>
      <c r="B305" s="102" t="s">
        <v>596</v>
      </c>
      <c r="C305" s="103" t="s">
        <v>597</v>
      </c>
    </row>
    <row r="306" spans="1:3">
      <c r="A306" s="6">
        <v>304</v>
      </c>
      <c r="B306" s="102" t="s">
        <v>598</v>
      </c>
      <c r="C306" s="103" t="s">
        <v>599</v>
      </c>
    </row>
    <row r="307" spans="1:3">
      <c r="A307" s="6">
        <v>305</v>
      </c>
      <c r="B307" s="102" t="s">
        <v>600</v>
      </c>
      <c r="C307" s="103" t="s">
        <v>601</v>
      </c>
    </row>
    <row r="308" spans="1:3">
      <c r="A308" s="6">
        <v>306</v>
      </c>
      <c r="B308" s="102" t="s">
        <v>602</v>
      </c>
      <c r="C308" s="103" t="s">
        <v>603</v>
      </c>
    </row>
    <row r="309" spans="1:3">
      <c r="A309" s="6">
        <v>307</v>
      </c>
      <c r="B309" s="102" t="s">
        <v>604</v>
      </c>
      <c r="C309" s="103" t="s">
        <v>605</v>
      </c>
    </row>
    <row r="310" spans="1:3">
      <c r="A310" s="6">
        <v>308</v>
      </c>
      <c r="B310" s="102" t="s">
        <v>606</v>
      </c>
      <c r="C310" s="103" t="s">
        <v>607</v>
      </c>
    </row>
    <row r="311" spans="1:3">
      <c r="A311" s="6">
        <v>309</v>
      </c>
      <c r="B311" s="102" t="s">
        <v>608</v>
      </c>
      <c r="C311" s="103" t="s">
        <v>609</v>
      </c>
    </row>
    <row r="312" spans="1:3">
      <c r="A312" s="6">
        <v>310</v>
      </c>
      <c r="B312" s="102" t="s">
        <v>610</v>
      </c>
      <c r="C312" s="103" t="s">
        <v>611</v>
      </c>
    </row>
    <row r="313" spans="1:3">
      <c r="A313" s="6">
        <v>311</v>
      </c>
      <c r="B313" s="102" t="s">
        <v>612</v>
      </c>
      <c r="C313" s="103" t="s">
        <v>613</v>
      </c>
    </row>
    <row r="314" spans="1:3">
      <c r="A314" s="6">
        <v>312</v>
      </c>
      <c r="B314" s="102" t="s">
        <v>614</v>
      </c>
      <c r="C314" s="103" t="s">
        <v>615</v>
      </c>
    </row>
    <row r="315" spans="1:3">
      <c r="A315" s="6">
        <v>313</v>
      </c>
      <c r="B315" s="102" t="s">
        <v>616</v>
      </c>
      <c r="C315" s="103" t="s">
        <v>1197</v>
      </c>
    </row>
    <row r="316" spans="1:3">
      <c r="A316" s="6">
        <v>314</v>
      </c>
      <c r="B316" s="102" t="s">
        <v>617</v>
      </c>
      <c r="C316" s="103" t="s">
        <v>618</v>
      </c>
    </row>
    <row r="317" spans="1:3">
      <c r="A317" s="6">
        <v>315</v>
      </c>
      <c r="B317" s="102" t="s">
        <v>619</v>
      </c>
      <c r="C317" s="103" t="s">
        <v>620</v>
      </c>
    </row>
    <row r="318" spans="1:3">
      <c r="A318" s="6">
        <v>316</v>
      </c>
      <c r="B318" s="102" t="s">
        <v>621</v>
      </c>
      <c r="C318" s="103" t="s">
        <v>622</v>
      </c>
    </row>
    <row r="319" spans="1:3">
      <c r="A319" s="6">
        <v>317</v>
      </c>
      <c r="B319" s="102" t="s">
        <v>623</v>
      </c>
      <c r="C319" s="103" t="s">
        <v>624</v>
      </c>
    </row>
    <row r="320" spans="1:3">
      <c r="A320" s="6">
        <v>318</v>
      </c>
      <c r="B320" s="102" t="s">
        <v>625</v>
      </c>
      <c r="C320" s="103" t="s">
        <v>626</v>
      </c>
    </row>
    <row r="321" spans="1:3">
      <c r="A321" s="6">
        <v>319</v>
      </c>
      <c r="B321" s="102" t="s">
        <v>627</v>
      </c>
      <c r="C321" s="103" t="s">
        <v>628</v>
      </c>
    </row>
    <row r="322" spans="1:3">
      <c r="A322" s="6">
        <v>320</v>
      </c>
      <c r="B322" s="102" t="s">
        <v>629</v>
      </c>
      <c r="C322" s="103" t="s">
        <v>630</v>
      </c>
    </row>
    <row r="323" spans="1:3">
      <c r="A323" s="6">
        <v>321</v>
      </c>
      <c r="B323" s="102" t="s">
        <v>631</v>
      </c>
      <c r="C323" s="103" t="s">
        <v>632</v>
      </c>
    </row>
    <row r="324" spans="1:3">
      <c r="A324" s="6">
        <v>322</v>
      </c>
      <c r="B324" s="102" t="s">
        <v>633</v>
      </c>
      <c r="C324" s="103" t="s">
        <v>634</v>
      </c>
    </row>
    <row r="325" spans="1:3">
      <c r="A325" s="6">
        <v>323</v>
      </c>
      <c r="B325" s="102" t="s">
        <v>635</v>
      </c>
      <c r="C325" s="103" t="s">
        <v>636</v>
      </c>
    </row>
    <row r="326" spans="1:3">
      <c r="A326" s="6">
        <v>324</v>
      </c>
      <c r="B326" s="102" t="s">
        <v>637</v>
      </c>
      <c r="C326" s="103" t="s">
        <v>638</v>
      </c>
    </row>
    <row r="327" spans="1:3">
      <c r="A327" s="6">
        <v>325</v>
      </c>
      <c r="B327" s="102" t="s">
        <v>639</v>
      </c>
      <c r="C327" s="103" t="s">
        <v>640</v>
      </c>
    </row>
    <row r="328" spans="1:3">
      <c r="A328" s="6">
        <v>326</v>
      </c>
      <c r="B328" s="102" t="s">
        <v>641</v>
      </c>
      <c r="C328" s="103" t="s">
        <v>1198</v>
      </c>
    </row>
    <row r="329" spans="1:3">
      <c r="A329" s="6">
        <v>327</v>
      </c>
      <c r="B329" s="102" t="s">
        <v>642</v>
      </c>
      <c r="C329" s="103" t="s">
        <v>1199</v>
      </c>
    </row>
    <row r="330" spans="1:3">
      <c r="A330" s="6">
        <v>328</v>
      </c>
      <c r="B330" s="102" t="s">
        <v>643</v>
      </c>
      <c r="C330" s="103" t="s">
        <v>1200</v>
      </c>
    </row>
    <row r="331" spans="1:3">
      <c r="A331" s="6">
        <v>329</v>
      </c>
      <c r="B331" s="102" t="s">
        <v>644</v>
      </c>
      <c r="C331" s="103" t="s">
        <v>645</v>
      </c>
    </row>
    <row r="332" spans="1:3">
      <c r="A332" s="6">
        <v>330</v>
      </c>
      <c r="B332" s="102" t="s">
        <v>646</v>
      </c>
      <c r="C332" s="103" t="s">
        <v>647</v>
      </c>
    </row>
    <row r="333" spans="1:3">
      <c r="A333" s="6">
        <v>331</v>
      </c>
      <c r="B333" s="102" t="s">
        <v>648</v>
      </c>
      <c r="C333" s="103" t="s">
        <v>649</v>
      </c>
    </row>
    <row r="334" spans="1:3">
      <c r="A334" s="6">
        <v>332</v>
      </c>
      <c r="B334" s="102" t="s">
        <v>650</v>
      </c>
      <c r="C334" s="103" t="s">
        <v>651</v>
      </c>
    </row>
    <row r="335" spans="1:3">
      <c r="A335" s="6">
        <v>333</v>
      </c>
      <c r="B335" s="102" t="s">
        <v>652</v>
      </c>
      <c r="C335" s="103" t="s">
        <v>653</v>
      </c>
    </row>
    <row r="336" spans="1:3">
      <c r="A336" s="6">
        <v>334</v>
      </c>
      <c r="B336" s="102" t="s">
        <v>654</v>
      </c>
      <c r="C336" s="103" t="s">
        <v>655</v>
      </c>
    </row>
    <row r="337" spans="1:3">
      <c r="A337" s="6">
        <v>335</v>
      </c>
      <c r="B337" s="102" t="s">
        <v>656</v>
      </c>
      <c r="C337" s="103" t="s">
        <v>1201</v>
      </c>
    </row>
    <row r="338" spans="1:3">
      <c r="A338" s="6">
        <v>336</v>
      </c>
      <c r="B338" s="102" t="s">
        <v>657</v>
      </c>
      <c r="C338" s="103" t="s">
        <v>658</v>
      </c>
    </row>
    <row r="339" spans="1:3">
      <c r="A339" s="6">
        <v>337</v>
      </c>
      <c r="B339" s="102" t="s">
        <v>659</v>
      </c>
      <c r="C339" s="103" t="s">
        <v>1202</v>
      </c>
    </row>
    <row r="340" spans="1:3">
      <c r="A340" s="6">
        <v>338</v>
      </c>
      <c r="B340" s="102" t="s">
        <v>660</v>
      </c>
      <c r="C340" s="103" t="s">
        <v>661</v>
      </c>
    </row>
    <row r="341" spans="1:3">
      <c r="A341" s="6">
        <v>339</v>
      </c>
      <c r="B341" s="102" t="s">
        <v>662</v>
      </c>
      <c r="C341" s="103" t="s">
        <v>663</v>
      </c>
    </row>
    <row r="342" spans="1:3">
      <c r="A342" s="6">
        <v>340</v>
      </c>
      <c r="B342" s="102" t="s">
        <v>664</v>
      </c>
      <c r="C342" s="103" t="s">
        <v>1203</v>
      </c>
    </row>
    <row r="343" spans="1:3">
      <c r="A343" s="6">
        <v>341</v>
      </c>
      <c r="B343" s="102" t="s">
        <v>665</v>
      </c>
      <c r="C343" s="103" t="s">
        <v>1204</v>
      </c>
    </row>
    <row r="344" spans="1:3">
      <c r="A344" s="6">
        <v>342</v>
      </c>
      <c r="B344" s="102" t="s">
        <v>666</v>
      </c>
      <c r="C344" s="103" t="s">
        <v>667</v>
      </c>
    </row>
    <row r="345" spans="1:3">
      <c r="A345" s="6">
        <v>343</v>
      </c>
      <c r="B345" s="102" t="s">
        <v>668</v>
      </c>
      <c r="C345" s="103" t="s">
        <v>1205</v>
      </c>
    </row>
    <row r="346" spans="1:3">
      <c r="A346" s="6">
        <v>344</v>
      </c>
      <c r="B346" s="102" t="s">
        <v>669</v>
      </c>
      <c r="C346" s="103" t="s">
        <v>670</v>
      </c>
    </row>
    <row r="347" spans="1:3">
      <c r="A347" s="6">
        <v>345</v>
      </c>
      <c r="B347" s="102" t="s">
        <v>671</v>
      </c>
      <c r="C347" s="103" t="s">
        <v>672</v>
      </c>
    </row>
    <row r="348" spans="1:3">
      <c r="A348" s="6">
        <v>346</v>
      </c>
      <c r="B348" s="102" t="s">
        <v>673</v>
      </c>
      <c r="C348" s="103" t="s">
        <v>674</v>
      </c>
    </row>
    <row r="349" spans="1:3">
      <c r="A349" s="6">
        <v>347</v>
      </c>
      <c r="B349" s="102" t="s">
        <v>675</v>
      </c>
      <c r="C349" s="103" t="s">
        <v>676</v>
      </c>
    </row>
    <row r="350" spans="1:3">
      <c r="A350" s="6">
        <v>348</v>
      </c>
      <c r="B350" s="102" t="s">
        <v>677</v>
      </c>
      <c r="C350" s="103" t="s">
        <v>678</v>
      </c>
    </row>
    <row r="351" spans="1:3">
      <c r="A351" s="6">
        <v>349</v>
      </c>
      <c r="B351" s="102" t="s">
        <v>679</v>
      </c>
      <c r="C351" s="103" t="s">
        <v>680</v>
      </c>
    </row>
    <row r="352" spans="1:3">
      <c r="A352" s="6">
        <v>350</v>
      </c>
      <c r="B352" s="102" t="s">
        <v>681</v>
      </c>
      <c r="C352" s="103" t="s">
        <v>682</v>
      </c>
    </row>
    <row r="353" spans="1:3">
      <c r="A353" s="6">
        <v>351</v>
      </c>
      <c r="B353" s="102" t="s">
        <v>683</v>
      </c>
      <c r="C353" s="103" t="s">
        <v>684</v>
      </c>
    </row>
    <row r="354" spans="1:3">
      <c r="A354" s="6">
        <v>352</v>
      </c>
      <c r="B354" s="102" t="s">
        <v>685</v>
      </c>
      <c r="C354" s="103" t="s">
        <v>686</v>
      </c>
    </row>
    <row r="355" spans="1:3">
      <c r="A355" s="6">
        <v>353</v>
      </c>
      <c r="B355" s="102" t="s">
        <v>687</v>
      </c>
      <c r="C355" s="103" t="s">
        <v>688</v>
      </c>
    </row>
    <row r="356" spans="1:3">
      <c r="A356" s="6">
        <v>354</v>
      </c>
      <c r="B356" s="102" t="s">
        <v>689</v>
      </c>
      <c r="C356" s="103" t="s">
        <v>690</v>
      </c>
    </row>
    <row r="357" spans="1:3">
      <c r="A357" s="6">
        <v>355</v>
      </c>
      <c r="B357" s="102" t="s">
        <v>691</v>
      </c>
      <c r="C357" s="103" t="s">
        <v>692</v>
      </c>
    </row>
    <row r="358" spans="1:3">
      <c r="A358" s="6">
        <v>356</v>
      </c>
      <c r="B358" s="102" t="s">
        <v>693</v>
      </c>
      <c r="C358" s="103" t="s">
        <v>1206</v>
      </c>
    </row>
    <row r="359" spans="1:3">
      <c r="A359" s="6">
        <v>357</v>
      </c>
      <c r="B359" s="102" t="s">
        <v>694</v>
      </c>
      <c r="C359" s="103" t="s">
        <v>695</v>
      </c>
    </row>
    <row r="360" spans="1:3">
      <c r="A360" s="6">
        <v>358</v>
      </c>
      <c r="B360" s="102" t="s">
        <v>696</v>
      </c>
      <c r="C360" s="103" t="s">
        <v>697</v>
      </c>
    </row>
    <row r="361" spans="1:3">
      <c r="A361" s="6">
        <v>359</v>
      </c>
      <c r="B361" s="102" t="s">
        <v>698</v>
      </c>
      <c r="C361" s="103" t="s">
        <v>1207</v>
      </c>
    </row>
    <row r="362" spans="1:3">
      <c r="A362" s="6">
        <v>360</v>
      </c>
      <c r="B362" s="102" t="s">
        <v>699</v>
      </c>
      <c r="C362" s="103" t="s">
        <v>1208</v>
      </c>
    </row>
    <row r="363" spans="1:3">
      <c r="A363" s="6">
        <v>361</v>
      </c>
      <c r="B363" s="102" t="s">
        <v>700</v>
      </c>
      <c r="C363" s="103" t="s">
        <v>1209</v>
      </c>
    </row>
    <row r="364" spans="1:3">
      <c r="A364" s="6">
        <v>362</v>
      </c>
      <c r="B364" s="102" t="s">
        <v>701</v>
      </c>
      <c r="C364" s="103" t="s">
        <v>1210</v>
      </c>
    </row>
    <row r="365" spans="1:3">
      <c r="A365" s="6">
        <v>363</v>
      </c>
      <c r="B365" s="102" t="s">
        <v>702</v>
      </c>
      <c r="C365" s="103" t="s">
        <v>703</v>
      </c>
    </row>
    <row r="366" spans="1:3">
      <c r="A366" s="6">
        <v>364</v>
      </c>
      <c r="B366" s="102" t="s">
        <v>704</v>
      </c>
      <c r="C366" s="103" t="s">
        <v>705</v>
      </c>
    </row>
    <row r="367" spans="1:3">
      <c r="A367" s="6">
        <v>365</v>
      </c>
      <c r="B367" s="102" t="s">
        <v>706</v>
      </c>
      <c r="C367" s="103" t="s">
        <v>707</v>
      </c>
    </row>
    <row r="368" spans="1:3">
      <c r="A368" s="6">
        <v>366</v>
      </c>
      <c r="B368" s="102" t="s">
        <v>708</v>
      </c>
      <c r="C368" s="103" t="s">
        <v>709</v>
      </c>
    </row>
    <row r="369" spans="1:3">
      <c r="A369" s="6">
        <v>367</v>
      </c>
      <c r="B369" s="102" t="s">
        <v>710</v>
      </c>
      <c r="C369" s="103" t="s">
        <v>1211</v>
      </c>
    </row>
    <row r="370" spans="1:3">
      <c r="A370" s="6">
        <v>368</v>
      </c>
      <c r="B370" s="102" t="s">
        <v>711</v>
      </c>
      <c r="C370" s="103" t="s">
        <v>712</v>
      </c>
    </row>
    <row r="371" spans="1:3">
      <c r="A371" s="6">
        <v>369</v>
      </c>
      <c r="B371" s="102" t="s">
        <v>713</v>
      </c>
      <c r="C371" s="103" t="s">
        <v>714</v>
      </c>
    </row>
    <row r="372" spans="1:3">
      <c r="A372" s="6">
        <v>370</v>
      </c>
      <c r="B372" s="102" t="s">
        <v>715</v>
      </c>
      <c r="C372" s="103" t="s">
        <v>716</v>
      </c>
    </row>
    <row r="373" spans="1:3">
      <c r="A373" s="6">
        <v>371</v>
      </c>
      <c r="B373" s="102" t="s">
        <v>717</v>
      </c>
      <c r="C373" s="103" t="s">
        <v>718</v>
      </c>
    </row>
    <row r="374" spans="1:3">
      <c r="A374" s="6">
        <v>372</v>
      </c>
      <c r="B374" s="102" t="s">
        <v>719</v>
      </c>
      <c r="C374" s="103" t="s">
        <v>1212</v>
      </c>
    </row>
    <row r="375" spans="1:3">
      <c r="A375" s="6">
        <v>373</v>
      </c>
      <c r="B375" s="102" t="s">
        <v>720</v>
      </c>
      <c r="C375" s="103" t="s">
        <v>721</v>
      </c>
    </row>
    <row r="376" spans="1:3">
      <c r="A376" s="6">
        <v>374</v>
      </c>
      <c r="B376" s="102" t="s">
        <v>722</v>
      </c>
      <c r="C376" s="103" t="s">
        <v>723</v>
      </c>
    </row>
    <row r="377" spans="1:3">
      <c r="A377" s="6">
        <v>375</v>
      </c>
      <c r="B377" s="102" t="s">
        <v>724</v>
      </c>
      <c r="C377" s="103" t="s">
        <v>725</v>
      </c>
    </row>
    <row r="378" spans="1:3">
      <c r="A378" s="6">
        <v>376</v>
      </c>
      <c r="B378" s="102" t="s">
        <v>726</v>
      </c>
      <c r="C378" s="103" t="s">
        <v>727</v>
      </c>
    </row>
    <row r="379" spans="1:3">
      <c r="A379" s="6">
        <v>377</v>
      </c>
      <c r="B379" s="102" t="s">
        <v>728</v>
      </c>
      <c r="C379" s="103" t="s">
        <v>729</v>
      </c>
    </row>
    <row r="380" spans="1:3">
      <c r="A380" s="6">
        <v>378</v>
      </c>
      <c r="B380" s="102" t="s">
        <v>730</v>
      </c>
      <c r="C380" s="103" t="s">
        <v>1213</v>
      </c>
    </row>
    <row r="381" spans="1:3">
      <c r="A381" s="6">
        <v>379</v>
      </c>
      <c r="B381" s="102" t="s">
        <v>731</v>
      </c>
      <c r="C381" s="103" t="s">
        <v>732</v>
      </c>
    </row>
    <row r="382" spans="1:3">
      <c r="A382" s="6">
        <v>380</v>
      </c>
      <c r="B382" s="102" t="s">
        <v>733</v>
      </c>
      <c r="C382" s="103" t="s">
        <v>734</v>
      </c>
    </row>
    <row r="383" spans="1:3">
      <c r="A383" s="6">
        <v>381</v>
      </c>
      <c r="B383" s="102" t="s">
        <v>735</v>
      </c>
      <c r="C383" s="103" t="s">
        <v>736</v>
      </c>
    </row>
    <row r="384" spans="1:3">
      <c r="A384" s="6">
        <v>382</v>
      </c>
      <c r="B384" s="102" t="s">
        <v>737</v>
      </c>
      <c r="C384" s="103" t="s">
        <v>738</v>
      </c>
    </row>
    <row r="385" spans="1:3">
      <c r="A385" s="6">
        <v>383</v>
      </c>
      <c r="B385" s="102" t="s">
        <v>739</v>
      </c>
      <c r="C385" s="103" t="s">
        <v>740</v>
      </c>
    </row>
    <row r="386" spans="1:3">
      <c r="A386" s="6">
        <v>384</v>
      </c>
      <c r="B386" s="102" t="s">
        <v>741</v>
      </c>
      <c r="C386" s="103" t="s">
        <v>742</v>
      </c>
    </row>
    <row r="387" spans="1:3">
      <c r="A387" s="6">
        <v>385</v>
      </c>
      <c r="B387" s="102" t="s">
        <v>743</v>
      </c>
      <c r="C387" s="103" t="s">
        <v>744</v>
      </c>
    </row>
    <row r="388" spans="1:3">
      <c r="A388" s="6">
        <v>386</v>
      </c>
      <c r="B388" s="102" t="s">
        <v>745</v>
      </c>
      <c r="C388" s="103" t="s">
        <v>746</v>
      </c>
    </row>
    <row r="389" spans="1:3">
      <c r="A389" s="6">
        <v>387</v>
      </c>
      <c r="B389" s="102" t="s">
        <v>747</v>
      </c>
      <c r="C389" s="103" t="s">
        <v>748</v>
      </c>
    </row>
    <row r="390" spans="1:3">
      <c r="A390" s="6">
        <v>388</v>
      </c>
      <c r="B390" s="102" t="s">
        <v>749</v>
      </c>
      <c r="C390" s="103" t="s">
        <v>750</v>
      </c>
    </row>
    <row r="391" spans="1:3">
      <c r="A391" s="6">
        <v>389</v>
      </c>
      <c r="B391" s="102" t="s">
        <v>751</v>
      </c>
      <c r="C391" s="103" t="s">
        <v>752</v>
      </c>
    </row>
    <row r="392" spans="1:3">
      <c r="A392" s="6">
        <v>390</v>
      </c>
      <c r="B392" s="102" t="s">
        <v>753</v>
      </c>
      <c r="C392" s="103" t="s">
        <v>754</v>
      </c>
    </row>
    <row r="393" spans="1:3">
      <c r="A393" s="6">
        <v>391</v>
      </c>
      <c r="B393" s="102" t="s">
        <v>755</v>
      </c>
      <c r="C393" s="103" t="s">
        <v>756</v>
      </c>
    </row>
    <row r="394" spans="1:3">
      <c r="A394" s="6">
        <v>392</v>
      </c>
      <c r="B394" s="102" t="s">
        <v>757</v>
      </c>
      <c r="C394" s="103" t="s">
        <v>758</v>
      </c>
    </row>
    <row r="395" spans="1:3">
      <c r="A395" s="6">
        <v>393</v>
      </c>
      <c r="B395" s="102" t="s">
        <v>759</v>
      </c>
      <c r="C395" s="103" t="s">
        <v>760</v>
      </c>
    </row>
    <row r="396" spans="1:3">
      <c r="A396" s="6">
        <v>394</v>
      </c>
      <c r="B396" s="102" t="s">
        <v>761</v>
      </c>
      <c r="C396" s="103" t="s">
        <v>762</v>
      </c>
    </row>
    <row r="397" spans="1:3">
      <c r="A397" s="6">
        <v>395</v>
      </c>
      <c r="B397" s="102" t="s">
        <v>763</v>
      </c>
      <c r="C397" s="103" t="s">
        <v>764</v>
      </c>
    </row>
    <row r="398" spans="1:3">
      <c r="A398" s="6">
        <v>396</v>
      </c>
      <c r="B398" s="102" t="s">
        <v>765</v>
      </c>
      <c r="C398" s="103" t="s">
        <v>766</v>
      </c>
    </row>
    <row r="399" spans="1:3">
      <c r="A399" s="6">
        <v>397</v>
      </c>
      <c r="B399" s="102" t="s">
        <v>767</v>
      </c>
      <c r="C399" s="103" t="s">
        <v>768</v>
      </c>
    </row>
    <row r="400" spans="1:3">
      <c r="A400" s="6">
        <v>398</v>
      </c>
      <c r="B400" s="102" t="s">
        <v>769</v>
      </c>
      <c r="C400" s="103" t="s">
        <v>770</v>
      </c>
    </row>
    <row r="401" spans="1:3">
      <c r="A401" s="6">
        <v>399</v>
      </c>
      <c r="B401" s="102" t="s">
        <v>771</v>
      </c>
      <c r="C401" s="103" t="s">
        <v>772</v>
      </c>
    </row>
    <row r="402" spans="1:3">
      <c r="A402" s="6">
        <v>400</v>
      </c>
      <c r="B402" s="102" t="s">
        <v>773</v>
      </c>
      <c r="C402" s="103" t="s">
        <v>774</v>
      </c>
    </row>
    <row r="403" spans="1:3">
      <c r="A403" s="6">
        <v>401</v>
      </c>
      <c r="B403" s="102" t="s">
        <v>775</v>
      </c>
      <c r="C403" s="103" t="s">
        <v>776</v>
      </c>
    </row>
    <row r="404" spans="1:3">
      <c r="A404" s="6">
        <v>402</v>
      </c>
      <c r="B404" s="102" t="s">
        <v>777</v>
      </c>
      <c r="C404" s="103" t="s">
        <v>778</v>
      </c>
    </row>
    <row r="405" spans="1:3">
      <c r="A405" s="6">
        <v>403</v>
      </c>
      <c r="B405" s="102" t="s">
        <v>779</v>
      </c>
      <c r="C405" s="103" t="s">
        <v>780</v>
      </c>
    </row>
    <row r="406" spans="1:3">
      <c r="A406" s="6">
        <v>404</v>
      </c>
      <c r="B406" s="102" t="s">
        <v>781</v>
      </c>
      <c r="C406" s="103" t="s">
        <v>782</v>
      </c>
    </row>
    <row r="407" spans="1:3">
      <c r="A407" s="6">
        <v>405</v>
      </c>
      <c r="B407" s="102" t="s">
        <v>783</v>
      </c>
      <c r="C407" s="103" t="s">
        <v>784</v>
      </c>
    </row>
    <row r="408" spans="1:3">
      <c r="A408" s="6">
        <v>406</v>
      </c>
      <c r="B408" s="102" t="s">
        <v>785</v>
      </c>
      <c r="C408" s="103" t="s">
        <v>786</v>
      </c>
    </row>
    <row r="409" spans="1:3">
      <c r="A409" s="6">
        <v>407</v>
      </c>
      <c r="B409" s="102" t="s">
        <v>787</v>
      </c>
      <c r="C409" s="103" t="s">
        <v>788</v>
      </c>
    </row>
    <row r="410" spans="1:3">
      <c r="A410" s="6">
        <v>408</v>
      </c>
      <c r="B410" s="102" t="s">
        <v>789</v>
      </c>
      <c r="C410" s="103" t="s">
        <v>790</v>
      </c>
    </row>
    <row r="411" spans="1:3">
      <c r="A411" s="6">
        <v>409</v>
      </c>
      <c r="B411" s="102" t="s">
        <v>791</v>
      </c>
      <c r="C411" s="103" t="s">
        <v>792</v>
      </c>
    </row>
    <row r="412" spans="1:3">
      <c r="A412" s="6">
        <v>410</v>
      </c>
      <c r="B412" s="102" t="s">
        <v>793</v>
      </c>
      <c r="C412" s="103" t="s">
        <v>794</v>
      </c>
    </row>
    <row r="413" spans="1:3">
      <c r="A413" s="6">
        <v>411</v>
      </c>
      <c r="B413" s="102" t="s">
        <v>795</v>
      </c>
      <c r="C413" s="103" t="s">
        <v>796</v>
      </c>
    </row>
    <row r="414" spans="1:3">
      <c r="A414" s="6">
        <v>412</v>
      </c>
      <c r="B414" s="102" t="s">
        <v>797</v>
      </c>
      <c r="C414" s="103" t="s">
        <v>798</v>
      </c>
    </row>
    <row r="415" spans="1:3">
      <c r="A415" s="6">
        <v>413</v>
      </c>
      <c r="B415" s="102" t="s">
        <v>799</v>
      </c>
      <c r="C415" s="103" t="s">
        <v>800</v>
      </c>
    </row>
    <row r="416" spans="1:3">
      <c r="A416" s="6">
        <v>414</v>
      </c>
      <c r="B416" s="102" t="s">
        <v>801</v>
      </c>
      <c r="C416" s="103" t="s">
        <v>802</v>
      </c>
    </row>
    <row r="417" spans="1:3">
      <c r="A417" s="6">
        <v>415</v>
      </c>
      <c r="B417" s="102" t="s">
        <v>803</v>
      </c>
      <c r="C417" s="103" t="s">
        <v>1214</v>
      </c>
    </row>
    <row r="418" spans="1:3">
      <c r="A418" s="6">
        <v>416</v>
      </c>
      <c r="B418" s="102" t="s">
        <v>804</v>
      </c>
      <c r="C418" s="103" t="s">
        <v>805</v>
      </c>
    </row>
    <row r="419" spans="1:3">
      <c r="A419" s="6">
        <v>417</v>
      </c>
      <c r="B419" s="102" t="s">
        <v>806</v>
      </c>
      <c r="C419" s="103" t="s">
        <v>807</v>
      </c>
    </row>
    <row r="420" spans="1:3">
      <c r="A420" s="6">
        <v>418</v>
      </c>
      <c r="B420" s="102" t="s">
        <v>808</v>
      </c>
      <c r="C420" s="103" t="s">
        <v>809</v>
      </c>
    </row>
    <row r="421" spans="1:3">
      <c r="A421" s="6">
        <v>419</v>
      </c>
      <c r="B421" s="102" t="s">
        <v>810</v>
      </c>
      <c r="C421" s="103" t="s">
        <v>811</v>
      </c>
    </row>
    <row r="422" spans="1:3">
      <c r="A422" s="6">
        <v>420</v>
      </c>
      <c r="B422" s="102" t="s">
        <v>812</v>
      </c>
      <c r="C422" s="103" t="s">
        <v>1215</v>
      </c>
    </row>
    <row r="423" spans="1:3">
      <c r="A423" s="6">
        <v>421</v>
      </c>
      <c r="B423" s="102" t="s">
        <v>813</v>
      </c>
      <c r="C423" s="103" t="s">
        <v>814</v>
      </c>
    </row>
    <row r="424" spans="1:3">
      <c r="A424" s="6">
        <v>422</v>
      </c>
      <c r="B424" s="102" t="s">
        <v>815</v>
      </c>
      <c r="C424" s="103" t="s">
        <v>1216</v>
      </c>
    </row>
    <row r="425" spans="1:3">
      <c r="A425" s="6">
        <v>423</v>
      </c>
      <c r="B425" s="102" t="s">
        <v>816</v>
      </c>
      <c r="C425" s="103" t="s">
        <v>817</v>
      </c>
    </row>
    <row r="426" spans="1:3">
      <c r="A426" s="6">
        <v>424</v>
      </c>
      <c r="B426" s="102" t="s">
        <v>818</v>
      </c>
      <c r="C426" s="103" t="s">
        <v>1217</v>
      </c>
    </row>
    <row r="427" spans="1:3">
      <c r="A427" s="6">
        <v>425</v>
      </c>
      <c r="B427" s="102" t="s">
        <v>819</v>
      </c>
      <c r="C427" s="103" t="s">
        <v>820</v>
      </c>
    </row>
    <row r="428" spans="1:3">
      <c r="A428" s="6">
        <v>426</v>
      </c>
      <c r="B428" s="102" t="s">
        <v>821</v>
      </c>
      <c r="C428" s="103" t="s">
        <v>822</v>
      </c>
    </row>
    <row r="429" spans="1:3">
      <c r="A429" s="6">
        <v>427</v>
      </c>
      <c r="B429" s="102" t="s">
        <v>823</v>
      </c>
      <c r="C429" s="103" t="s">
        <v>824</v>
      </c>
    </row>
    <row r="430" spans="1:3">
      <c r="A430" s="6">
        <v>428</v>
      </c>
      <c r="B430" s="102" t="s">
        <v>825</v>
      </c>
      <c r="C430" s="103" t="s">
        <v>1218</v>
      </c>
    </row>
    <row r="431" spans="1:3">
      <c r="A431" s="6">
        <v>429</v>
      </c>
      <c r="B431" s="102" t="s">
        <v>826</v>
      </c>
      <c r="C431" s="103" t="s">
        <v>827</v>
      </c>
    </row>
    <row r="432" spans="1:3">
      <c r="A432" s="6">
        <v>430</v>
      </c>
      <c r="B432" s="102" t="s">
        <v>828</v>
      </c>
      <c r="C432" s="103" t="s">
        <v>829</v>
      </c>
    </row>
    <row r="433" spans="1:3">
      <c r="A433" s="6">
        <v>431</v>
      </c>
      <c r="B433" s="102" t="s">
        <v>830</v>
      </c>
      <c r="C433" s="103" t="s">
        <v>831</v>
      </c>
    </row>
    <row r="434" spans="1:3">
      <c r="A434" s="6">
        <v>432</v>
      </c>
      <c r="B434" s="102" t="s">
        <v>832</v>
      </c>
      <c r="C434" s="103" t="s">
        <v>833</v>
      </c>
    </row>
    <row r="435" spans="1:3">
      <c r="A435" s="6">
        <v>433</v>
      </c>
      <c r="B435" s="102" t="s">
        <v>834</v>
      </c>
      <c r="C435" s="103" t="s">
        <v>835</v>
      </c>
    </row>
    <row r="436" spans="1:3">
      <c r="A436" s="6">
        <v>434</v>
      </c>
      <c r="B436" s="102" t="s">
        <v>836</v>
      </c>
      <c r="C436" s="103" t="s">
        <v>837</v>
      </c>
    </row>
    <row r="437" spans="1:3">
      <c r="A437" s="6">
        <v>435</v>
      </c>
      <c r="B437" s="102" t="s">
        <v>838</v>
      </c>
      <c r="C437" s="103" t="s">
        <v>1219</v>
      </c>
    </row>
    <row r="438" spans="1:3">
      <c r="A438" s="6">
        <v>436</v>
      </c>
      <c r="B438" s="102" t="s">
        <v>839</v>
      </c>
      <c r="C438" s="103" t="s">
        <v>840</v>
      </c>
    </row>
    <row r="439" spans="1:3">
      <c r="A439" s="6">
        <v>437</v>
      </c>
      <c r="B439" s="102" t="s">
        <v>841</v>
      </c>
      <c r="C439" s="103" t="s">
        <v>842</v>
      </c>
    </row>
    <row r="440" spans="1:3">
      <c r="A440" s="6">
        <v>438</v>
      </c>
      <c r="B440" s="102" t="s">
        <v>843</v>
      </c>
      <c r="C440" s="103" t="s">
        <v>844</v>
      </c>
    </row>
    <row r="441" spans="1:3">
      <c r="A441" s="6">
        <v>439</v>
      </c>
      <c r="B441" s="102" t="s">
        <v>845</v>
      </c>
      <c r="C441" s="103" t="s">
        <v>846</v>
      </c>
    </row>
    <row r="442" spans="1:3">
      <c r="A442" s="6">
        <v>440</v>
      </c>
      <c r="B442" s="102" t="s">
        <v>847</v>
      </c>
      <c r="C442" s="103" t="s">
        <v>848</v>
      </c>
    </row>
    <row r="443" spans="1:3">
      <c r="A443" s="6">
        <v>441</v>
      </c>
      <c r="B443" s="102" t="s">
        <v>849</v>
      </c>
      <c r="C443" s="103" t="s">
        <v>850</v>
      </c>
    </row>
    <row r="444" spans="1:3">
      <c r="A444" s="6">
        <v>442</v>
      </c>
      <c r="B444" s="102" t="s">
        <v>851</v>
      </c>
      <c r="C444" s="103" t="s">
        <v>1220</v>
      </c>
    </row>
    <row r="445" spans="1:3">
      <c r="A445" s="6">
        <v>443</v>
      </c>
      <c r="B445" s="102" t="s">
        <v>852</v>
      </c>
      <c r="C445" s="103" t="s">
        <v>1221</v>
      </c>
    </row>
    <row r="446" spans="1:3">
      <c r="A446" s="6">
        <v>444</v>
      </c>
      <c r="B446" s="102" t="s">
        <v>853</v>
      </c>
      <c r="C446" s="103" t="s">
        <v>854</v>
      </c>
    </row>
    <row r="447" spans="1:3">
      <c r="A447" s="6">
        <v>445</v>
      </c>
      <c r="B447" s="102" t="s">
        <v>855</v>
      </c>
      <c r="C447" s="103" t="s">
        <v>856</v>
      </c>
    </row>
    <row r="448" spans="1:3">
      <c r="A448" s="6">
        <v>446</v>
      </c>
      <c r="B448" s="102" t="s">
        <v>857</v>
      </c>
      <c r="C448" s="103" t="s">
        <v>858</v>
      </c>
    </row>
    <row r="449" spans="1:3">
      <c r="A449" s="6">
        <v>447</v>
      </c>
      <c r="B449" s="102" t="s">
        <v>859</v>
      </c>
      <c r="C449" s="103" t="s">
        <v>860</v>
      </c>
    </row>
    <row r="450" spans="1:3">
      <c r="A450" s="6">
        <v>448</v>
      </c>
      <c r="B450" s="102" t="s">
        <v>861</v>
      </c>
      <c r="C450" s="103" t="s">
        <v>862</v>
      </c>
    </row>
    <row r="451" spans="1:3">
      <c r="A451" s="6">
        <v>449</v>
      </c>
      <c r="B451" s="102" t="s">
        <v>863</v>
      </c>
      <c r="C451" s="103" t="s">
        <v>864</v>
      </c>
    </row>
    <row r="452" spans="1:3">
      <c r="A452" s="6">
        <v>450</v>
      </c>
      <c r="B452" s="102" t="s">
        <v>865</v>
      </c>
      <c r="C452" s="103" t="s">
        <v>866</v>
      </c>
    </row>
    <row r="453" spans="1:3">
      <c r="A453" s="6">
        <v>451</v>
      </c>
      <c r="B453" s="102" t="s">
        <v>867</v>
      </c>
      <c r="C453" s="103" t="s">
        <v>868</v>
      </c>
    </row>
    <row r="454" spans="1:3">
      <c r="A454" s="6">
        <v>452</v>
      </c>
      <c r="B454" s="102" t="s">
        <v>869</v>
      </c>
      <c r="C454" s="103" t="s">
        <v>870</v>
      </c>
    </row>
    <row r="455" spans="1:3">
      <c r="A455" s="6">
        <v>453</v>
      </c>
      <c r="B455" s="102" t="s">
        <v>871</v>
      </c>
      <c r="C455" s="103" t="s">
        <v>1222</v>
      </c>
    </row>
    <row r="456" spans="1:3">
      <c r="A456" s="6">
        <v>454</v>
      </c>
      <c r="B456" s="102" t="s">
        <v>872</v>
      </c>
      <c r="C456" s="103" t="s">
        <v>1223</v>
      </c>
    </row>
    <row r="457" spans="1:3">
      <c r="A457" s="6">
        <v>455</v>
      </c>
      <c r="B457" s="102" t="s">
        <v>873</v>
      </c>
      <c r="C457" s="103" t="s">
        <v>874</v>
      </c>
    </row>
    <row r="458" spans="1:3">
      <c r="A458" s="6">
        <v>456</v>
      </c>
      <c r="B458" s="102" t="s">
        <v>875</v>
      </c>
      <c r="C458" s="103" t="s">
        <v>876</v>
      </c>
    </row>
    <row r="459" spans="1:3">
      <c r="A459" s="6">
        <v>457</v>
      </c>
      <c r="B459" s="102" t="s">
        <v>877</v>
      </c>
      <c r="C459" s="103" t="s">
        <v>878</v>
      </c>
    </row>
    <row r="460" spans="1:3">
      <c r="A460" s="6">
        <v>458</v>
      </c>
      <c r="B460" s="102" t="s">
        <v>879</v>
      </c>
      <c r="C460" s="103" t="s">
        <v>880</v>
      </c>
    </row>
    <row r="461" spans="1:3">
      <c r="A461" s="6">
        <v>459</v>
      </c>
      <c r="B461" s="102" t="s">
        <v>881</v>
      </c>
      <c r="C461" s="103" t="s">
        <v>882</v>
      </c>
    </row>
    <row r="462" spans="1:3">
      <c r="A462" s="6">
        <v>460</v>
      </c>
      <c r="B462" s="102" t="s">
        <v>883</v>
      </c>
      <c r="C462" s="103" t="s">
        <v>884</v>
      </c>
    </row>
    <row r="463" spans="1:3">
      <c r="A463" s="6">
        <v>461</v>
      </c>
      <c r="B463" s="102" t="s">
        <v>885</v>
      </c>
      <c r="C463" s="103" t="s">
        <v>886</v>
      </c>
    </row>
    <row r="464" spans="1:3">
      <c r="A464" s="6">
        <v>462</v>
      </c>
      <c r="B464" s="102" t="s">
        <v>887</v>
      </c>
      <c r="C464" s="103" t="s">
        <v>1224</v>
      </c>
    </row>
    <row r="465" spans="1:3">
      <c r="A465" s="6">
        <v>463</v>
      </c>
      <c r="B465" s="102" t="s">
        <v>888</v>
      </c>
      <c r="C465" s="103" t="s">
        <v>889</v>
      </c>
    </row>
    <row r="466" spans="1:3">
      <c r="A466" s="6">
        <v>464</v>
      </c>
      <c r="B466" s="102" t="s">
        <v>890</v>
      </c>
      <c r="C466" s="103" t="s">
        <v>891</v>
      </c>
    </row>
    <row r="467" spans="1:3">
      <c r="A467" s="6">
        <v>465</v>
      </c>
      <c r="B467" s="102" t="s">
        <v>892</v>
      </c>
      <c r="C467" s="103" t="s">
        <v>893</v>
      </c>
    </row>
    <row r="468" spans="1:3">
      <c r="A468" s="6">
        <v>466</v>
      </c>
      <c r="B468" s="102" t="s">
        <v>894</v>
      </c>
      <c r="C468" s="103" t="s">
        <v>895</v>
      </c>
    </row>
    <row r="469" spans="1:3">
      <c r="A469" s="6">
        <v>467</v>
      </c>
      <c r="B469" s="102" t="s">
        <v>896</v>
      </c>
      <c r="C469" s="103" t="s">
        <v>1225</v>
      </c>
    </row>
    <row r="470" spans="1:3">
      <c r="A470" s="6">
        <v>468</v>
      </c>
      <c r="B470" s="102" t="s">
        <v>897</v>
      </c>
      <c r="C470" s="103" t="s">
        <v>898</v>
      </c>
    </row>
    <row r="471" spans="1:3">
      <c r="A471" s="6">
        <v>469</v>
      </c>
      <c r="B471" s="102" t="s">
        <v>899</v>
      </c>
      <c r="C471" s="103" t="s">
        <v>900</v>
      </c>
    </row>
    <row r="472" spans="1:3">
      <c r="A472" s="6">
        <v>470</v>
      </c>
      <c r="B472" s="102" t="s">
        <v>901</v>
      </c>
      <c r="C472" s="103" t="s">
        <v>902</v>
      </c>
    </row>
    <row r="473" spans="1:3">
      <c r="A473" s="6">
        <v>471</v>
      </c>
      <c r="B473" s="102" t="s">
        <v>903</v>
      </c>
      <c r="C473" s="103" t="s">
        <v>904</v>
      </c>
    </row>
    <row r="474" spans="1:3">
      <c r="A474" s="6">
        <v>472</v>
      </c>
      <c r="B474" s="102" t="s">
        <v>905</v>
      </c>
      <c r="C474" s="103" t="s">
        <v>906</v>
      </c>
    </row>
    <row r="475" spans="1:3">
      <c r="A475" s="6">
        <v>473</v>
      </c>
      <c r="B475" s="102" t="s">
        <v>907</v>
      </c>
      <c r="C475" s="103" t="s">
        <v>1226</v>
      </c>
    </row>
    <row r="476" spans="1:3">
      <c r="A476" s="6">
        <v>474</v>
      </c>
      <c r="B476" s="102" t="s">
        <v>908</v>
      </c>
      <c r="C476" s="103" t="s">
        <v>1227</v>
      </c>
    </row>
    <row r="477" spans="1:3">
      <c r="A477" s="6">
        <v>475</v>
      </c>
      <c r="B477" s="102" t="s">
        <v>909</v>
      </c>
      <c r="C477" s="103" t="s">
        <v>910</v>
      </c>
    </row>
    <row r="478" spans="1:3">
      <c r="A478" s="6">
        <v>476</v>
      </c>
      <c r="B478" s="102" t="s">
        <v>911</v>
      </c>
      <c r="C478" s="103" t="s">
        <v>1228</v>
      </c>
    </row>
    <row r="479" spans="1:3">
      <c r="A479" s="6">
        <v>477</v>
      </c>
      <c r="B479" s="102" t="s">
        <v>912</v>
      </c>
      <c r="C479" s="103" t="s">
        <v>1229</v>
      </c>
    </row>
    <row r="480" spans="1:3">
      <c r="A480" s="6">
        <v>478</v>
      </c>
      <c r="B480" s="102" t="s">
        <v>913</v>
      </c>
      <c r="C480" s="103" t="s">
        <v>914</v>
      </c>
    </row>
    <row r="481" spans="1:3">
      <c r="A481" s="6">
        <v>479</v>
      </c>
      <c r="B481" s="102" t="s">
        <v>915</v>
      </c>
      <c r="C481" s="103" t="s">
        <v>916</v>
      </c>
    </row>
    <row r="482" spans="1:3">
      <c r="A482" s="6">
        <v>480</v>
      </c>
      <c r="B482" s="102" t="s">
        <v>917</v>
      </c>
      <c r="C482" s="103" t="s">
        <v>918</v>
      </c>
    </row>
    <row r="483" spans="1:3">
      <c r="A483" s="6">
        <v>481</v>
      </c>
      <c r="B483" s="102" t="s">
        <v>919</v>
      </c>
      <c r="C483" s="103" t="s">
        <v>920</v>
      </c>
    </row>
    <row r="484" spans="1:3">
      <c r="A484" s="6">
        <v>482</v>
      </c>
      <c r="B484" s="102" t="s">
        <v>921</v>
      </c>
      <c r="C484" s="103" t="s">
        <v>922</v>
      </c>
    </row>
    <row r="485" spans="1:3">
      <c r="A485" s="6">
        <v>483</v>
      </c>
      <c r="B485" s="102" t="s">
        <v>923</v>
      </c>
      <c r="C485" s="103" t="s">
        <v>924</v>
      </c>
    </row>
    <row r="486" spans="1:3">
      <c r="A486" s="6">
        <v>484</v>
      </c>
      <c r="B486" s="102" t="s">
        <v>925</v>
      </c>
      <c r="C486" s="103" t="s">
        <v>926</v>
      </c>
    </row>
    <row r="487" spans="1:3">
      <c r="A487" s="6">
        <v>485</v>
      </c>
      <c r="B487" s="102" t="s">
        <v>927</v>
      </c>
      <c r="C487" s="103" t="s">
        <v>928</v>
      </c>
    </row>
    <row r="488" spans="1:3">
      <c r="A488" s="6">
        <v>486</v>
      </c>
      <c r="B488" s="102" t="s">
        <v>929</v>
      </c>
      <c r="C488" s="103" t="s">
        <v>930</v>
      </c>
    </row>
    <row r="489" spans="1:3">
      <c r="A489" s="6">
        <v>487</v>
      </c>
      <c r="B489" s="102" t="s">
        <v>931</v>
      </c>
      <c r="C489" s="103" t="s">
        <v>932</v>
      </c>
    </row>
    <row r="490" spans="1:3">
      <c r="A490" s="6">
        <v>488</v>
      </c>
      <c r="B490" s="102" t="s">
        <v>933</v>
      </c>
      <c r="C490" s="103" t="s">
        <v>1230</v>
      </c>
    </row>
    <row r="491" spans="1:3">
      <c r="A491" s="6">
        <v>489</v>
      </c>
      <c r="B491" s="102" t="s">
        <v>934</v>
      </c>
      <c r="C491" s="103" t="s">
        <v>1231</v>
      </c>
    </row>
    <row r="492" spans="1:3">
      <c r="A492" s="6">
        <v>490</v>
      </c>
      <c r="B492" s="102" t="s">
        <v>935</v>
      </c>
      <c r="C492" s="103" t="s">
        <v>936</v>
      </c>
    </row>
    <row r="493" spans="1:3">
      <c r="A493" s="6">
        <v>491</v>
      </c>
      <c r="B493" s="102" t="s">
        <v>937</v>
      </c>
      <c r="C493" s="103" t="s">
        <v>938</v>
      </c>
    </row>
    <row r="494" spans="1:3">
      <c r="A494" s="6">
        <v>492</v>
      </c>
      <c r="B494" s="102" t="s">
        <v>939</v>
      </c>
      <c r="C494" s="103" t="s">
        <v>940</v>
      </c>
    </row>
    <row r="495" spans="1:3">
      <c r="A495" s="6">
        <v>493</v>
      </c>
      <c r="B495" s="102" t="s">
        <v>941</v>
      </c>
      <c r="C495" s="103" t="s">
        <v>942</v>
      </c>
    </row>
    <row r="496" spans="1:3">
      <c r="A496" s="6">
        <v>494</v>
      </c>
      <c r="B496" s="102" t="s">
        <v>943</v>
      </c>
      <c r="C496" s="103" t="s">
        <v>1232</v>
      </c>
    </row>
    <row r="497" spans="1:3">
      <c r="A497" s="6">
        <v>495</v>
      </c>
      <c r="B497" s="102" t="s">
        <v>944</v>
      </c>
      <c r="C497" s="103" t="s">
        <v>945</v>
      </c>
    </row>
    <row r="498" spans="1:3">
      <c r="A498" s="6">
        <v>496</v>
      </c>
      <c r="B498" s="102" t="s">
        <v>946</v>
      </c>
      <c r="C498" s="103" t="s">
        <v>947</v>
      </c>
    </row>
    <row r="499" spans="1:3">
      <c r="A499" s="6">
        <v>497</v>
      </c>
      <c r="B499" s="102" t="s">
        <v>948</v>
      </c>
      <c r="C499" s="103" t="s">
        <v>949</v>
      </c>
    </row>
    <row r="500" spans="1:3">
      <c r="A500" s="6">
        <v>498</v>
      </c>
      <c r="B500" s="102" t="s">
        <v>950</v>
      </c>
      <c r="C500" s="103" t="s">
        <v>951</v>
      </c>
    </row>
    <row r="501" spans="1:3">
      <c r="A501" s="6">
        <v>499</v>
      </c>
      <c r="B501" s="102" t="s">
        <v>952</v>
      </c>
      <c r="C501" s="103" t="s">
        <v>953</v>
      </c>
    </row>
    <row r="502" spans="1:3">
      <c r="A502" s="6">
        <v>500</v>
      </c>
      <c r="B502" s="102" t="s">
        <v>954</v>
      </c>
      <c r="C502" s="103" t="s">
        <v>955</v>
      </c>
    </row>
    <row r="503" spans="1:3">
      <c r="A503" s="6">
        <v>501</v>
      </c>
      <c r="B503" s="102" t="s">
        <v>956</v>
      </c>
      <c r="C503" s="103" t="s">
        <v>957</v>
      </c>
    </row>
    <row r="504" spans="1:3">
      <c r="A504" s="6">
        <v>502</v>
      </c>
      <c r="B504" s="102" t="s">
        <v>958</v>
      </c>
      <c r="C504" s="103" t="s">
        <v>959</v>
      </c>
    </row>
    <row r="505" spans="1:3">
      <c r="A505" s="6">
        <v>503</v>
      </c>
      <c r="B505" s="102" t="s">
        <v>960</v>
      </c>
      <c r="C505" s="103" t="s">
        <v>961</v>
      </c>
    </row>
    <row r="506" spans="1:3">
      <c r="A506" s="6">
        <v>504</v>
      </c>
      <c r="B506" s="102" t="s">
        <v>962</v>
      </c>
      <c r="C506" s="103" t="s">
        <v>963</v>
      </c>
    </row>
    <row r="507" spans="1:3">
      <c r="A507" s="6">
        <v>505</v>
      </c>
    </row>
  </sheetData>
  <sheetProtection sheet="1" objects="1" scenarios="1"/>
  <mergeCells count="1">
    <mergeCell ref="A1:D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6</vt:i4>
      </vt:variant>
    </vt:vector>
  </HeadingPairs>
  <TitlesOfParts>
    <vt:vector size="13" baseType="lpstr">
      <vt:lpstr>Demande</vt:lpstr>
      <vt:lpstr>ArtD68</vt:lpstr>
      <vt:lpstr>Enquêtes multiples</vt:lpstr>
      <vt:lpstr>Plans modif</vt:lpstr>
      <vt:lpstr>Enquêtes multiples PM</vt:lpstr>
      <vt:lpstr>Délais DGATLP</vt:lpstr>
      <vt:lpstr>NACE AR 16-10-2000</vt:lpstr>
      <vt:lpstr>ArtD68!Zone_d_impression</vt:lpstr>
      <vt:lpstr>'Délais DGATLP'!Zone_d_impression</vt:lpstr>
      <vt:lpstr>Demande!Zone_d_impression</vt:lpstr>
      <vt:lpstr>'Enquêtes multiples'!Zone_d_impression</vt:lpstr>
      <vt:lpstr>'Enquêtes multiples PM'!Zone_d_impression</vt:lpstr>
      <vt:lpstr>'Plans modif'!Zone_d_impression</vt:lpstr>
    </vt:vector>
  </TitlesOfParts>
  <Company>SPW - DGO3- DPA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Permis d'environnement et unique</dc:title>
  <dc:subject>Calcul des délais</dc:subject>
  <dc:creator>Guy BOXHO</dc:creator>
  <cp:keywords>délais permis environnement unique plans modificatifs</cp:keywords>
  <dc:description>Délais d'instruction des PE-PU en 1ère instance. 6 mois pour compléments. Sans arrêt Gillet du CE.</dc:description>
  <cp:lastModifiedBy>Guy Boxho</cp:lastModifiedBy>
  <cp:lastPrinted>2013-06-04T08:18:40Z</cp:lastPrinted>
  <dcterms:created xsi:type="dcterms:W3CDTF">2004-03-30T14:18:36Z</dcterms:created>
  <dcterms:modified xsi:type="dcterms:W3CDTF">2013-07-24T12:08:30Z</dcterms:modified>
  <cp:category>1ère instance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estination">
    <vt:lpwstr>Agents DPA</vt:lpwstr>
  </property>
  <property fmtid="{D5CDD505-2E9C-101B-9397-08002B2CF9AE}" pid="3" name="Enregistré par">
    <vt:lpwstr>Guy Boxho</vt:lpwstr>
  </property>
</Properties>
</file>